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60" windowWidth="13260" windowHeight="5880"/>
  </bookViews>
  <sheets>
    <sheet name="Ф-26,27" sheetId="14" r:id="rId1"/>
    <sheet name="26,27-город" sheetId="13" r:id="rId2"/>
    <sheet name="В-26,27" sheetId="12" r:id="rId3"/>
  </sheets>
  <externalReferences>
    <externalReference r:id="rId4"/>
    <externalReference r:id="rId5"/>
  </externalReferences>
  <definedNames>
    <definedName name="_xlnm.Print_Area" localSheetId="1">'26,27-город'!$A$1:$E$827</definedName>
    <definedName name="_xlnm.Print_Area" localSheetId="2">'В-26,27'!$A$1:$H$1256</definedName>
  </definedNames>
  <calcPr calcId="145621"/>
</workbook>
</file>

<file path=xl/calcChain.xml><?xml version="1.0" encoding="utf-8"?>
<calcChain xmlns="http://schemas.openxmlformats.org/spreadsheetml/2006/main">
  <c r="G1067" i="12" l="1"/>
  <c r="G1060" i="12"/>
  <c r="G74" i="12"/>
  <c r="G532" i="12" l="1"/>
  <c r="G777" i="12"/>
  <c r="G815" i="12"/>
  <c r="G914" i="12" l="1"/>
  <c r="H72" i="12" l="1"/>
  <c r="H57" i="12"/>
  <c r="G57" i="12"/>
  <c r="E411" i="13" l="1"/>
  <c r="D411" i="13"/>
  <c r="E417" i="13"/>
  <c r="E416" i="13" s="1"/>
  <c r="D416" i="13"/>
  <c r="D417" i="13"/>
  <c r="G645" i="12"/>
  <c r="H648" i="12"/>
  <c r="G648" i="12"/>
  <c r="G647" i="12"/>
  <c r="G636" i="12" l="1"/>
  <c r="D772" i="13" l="1"/>
  <c r="D771" i="13" s="1"/>
  <c r="E772" i="13"/>
  <c r="E771" i="13" s="1"/>
  <c r="G1241" i="12" l="1"/>
  <c r="G72" i="12" l="1"/>
  <c r="E774" i="13" l="1"/>
  <c r="E773" i="13" s="1"/>
  <c r="D774" i="13"/>
  <c r="D773" i="13" s="1"/>
  <c r="H826" i="12"/>
  <c r="H825" i="12" s="1"/>
  <c r="H810" i="12" s="1"/>
  <c r="G826" i="12"/>
  <c r="G825" i="12" s="1"/>
  <c r="D770" i="13" l="1"/>
  <c r="D769" i="13"/>
  <c r="E769" i="13"/>
  <c r="E770" i="13"/>
  <c r="H43" i="12" l="1"/>
  <c r="G43" i="12"/>
  <c r="H227" i="12"/>
  <c r="G227" i="12"/>
  <c r="H224" i="12"/>
  <c r="G224" i="12"/>
  <c r="H46" i="12" l="1"/>
  <c r="G46" i="12"/>
  <c r="H114" i="12"/>
  <c r="G114" i="12"/>
  <c r="H111" i="12"/>
  <c r="G111" i="12"/>
  <c r="H62" i="12"/>
  <c r="G62" i="12"/>
  <c r="H129" i="12" l="1"/>
  <c r="H128" i="12"/>
  <c r="H152" i="12"/>
  <c r="H151" i="12"/>
  <c r="E122" i="13"/>
  <c r="H121" i="12"/>
  <c r="G121" i="12"/>
  <c r="G128" i="12"/>
  <c r="G129" i="12"/>
  <c r="G151" i="12"/>
  <c r="G152" i="12"/>
  <c r="E357" i="13"/>
  <c r="E356" i="13" s="1"/>
  <c r="D357" i="13"/>
  <c r="D356" i="13" s="1"/>
  <c r="H1157" i="12"/>
  <c r="H1169" i="12"/>
  <c r="G1190" i="12"/>
  <c r="H1190" i="12"/>
  <c r="E121" i="13" l="1"/>
  <c r="E120" i="13" s="1"/>
  <c r="H1236" i="12"/>
  <c r="H125" i="12"/>
  <c r="H850" i="12"/>
  <c r="H647" i="12"/>
  <c r="H652" i="12"/>
  <c r="H394" i="12"/>
  <c r="H416" i="12"/>
  <c r="G146" i="12"/>
  <c r="G145" i="12" s="1"/>
  <c r="G850" i="12"/>
  <c r="D122" i="13"/>
  <c r="D121" i="13"/>
  <c r="E138" i="13"/>
  <c r="H145" i="12"/>
  <c r="D120" i="13" l="1"/>
  <c r="D139" i="13"/>
  <c r="D138" i="13" s="1"/>
  <c r="G1236" i="12" l="1"/>
  <c r="G652" i="12"/>
  <c r="G416" i="12"/>
  <c r="E601" i="13"/>
  <c r="E599" i="13"/>
  <c r="D600" i="13"/>
  <c r="D599" i="13" s="1"/>
  <c r="D602" i="13"/>
  <c r="D601" i="13" s="1"/>
  <c r="H909" i="12"/>
  <c r="H907" i="12"/>
  <c r="G907" i="12"/>
  <c r="G909" i="12"/>
  <c r="H42" i="12" l="1"/>
  <c r="G42" i="12"/>
  <c r="H982" i="12" l="1"/>
  <c r="H980" i="12"/>
  <c r="G980" i="12"/>
  <c r="G982" i="12"/>
  <c r="F615" i="13" l="1"/>
  <c r="E333" i="13" l="1"/>
  <c r="D333" i="13"/>
  <c r="H321" i="12"/>
  <c r="G321" i="12"/>
  <c r="F448" i="13" l="1"/>
  <c r="E404" i="13"/>
  <c r="E403" i="13" s="1"/>
  <c r="E402" i="13" s="1"/>
  <c r="H563" i="12"/>
  <c r="H595" i="12"/>
  <c r="H596" i="12"/>
  <c r="G233" i="12" l="1"/>
  <c r="G165" i="12"/>
  <c r="G265" i="12"/>
  <c r="G255" i="12"/>
  <c r="G394" i="12"/>
  <c r="G343" i="12"/>
  <c r="G593" i="12"/>
  <c r="G490" i="12"/>
  <c r="G588" i="12"/>
  <c r="G463" i="12"/>
  <c r="H74" i="12"/>
  <c r="H1060" i="12"/>
  <c r="H1212" i="12"/>
  <c r="G1212" i="12"/>
  <c r="H1054" i="12"/>
  <c r="H1053" i="12" s="1"/>
  <c r="G1054" i="12"/>
  <c r="G73" i="12"/>
  <c r="E295" i="13"/>
  <c r="E294" i="13" s="1"/>
  <c r="D295" i="13"/>
  <c r="D294" i="13" s="1"/>
  <c r="H1235" i="12"/>
  <c r="G1235" i="12"/>
  <c r="H1194" i="12"/>
  <c r="G1194" i="12"/>
  <c r="G666" i="12"/>
  <c r="E654" i="13"/>
  <c r="E653" i="13" s="1"/>
  <c r="E652" i="13" s="1"/>
  <c r="E651" i="13" s="1"/>
  <c r="D654" i="13"/>
  <c r="D653" i="13" s="1"/>
  <c r="D652" i="13" s="1"/>
  <c r="D651" i="13" s="1"/>
  <c r="I828" i="12"/>
  <c r="J828" i="12"/>
  <c r="K828" i="12"/>
  <c r="L828" i="12"/>
  <c r="M828" i="12"/>
  <c r="N828" i="12"/>
  <c r="O828" i="12"/>
  <c r="P828" i="12"/>
  <c r="Q828" i="12"/>
  <c r="R828" i="12"/>
  <c r="S828" i="12"/>
  <c r="T828" i="12"/>
  <c r="U828" i="12"/>
  <c r="V828" i="12"/>
  <c r="W828" i="12"/>
  <c r="X828" i="12"/>
  <c r="Y828" i="12"/>
  <c r="Z828" i="12"/>
  <c r="AA828" i="12"/>
  <c r="AB828" i="12"/>
  <c r="AC828" i="12"/>
  <c r="AD828" i="12"/>
  <c r="AE828" i="12"/>
  <c r="AF828" i="12"/>
  <c r="AG828" i="12"/>
  <c r="AH828" i="12"/>
  <c r="AI828" i="12"/>
  <c r="AJ828" i="12"/>
  <c r="AK828" i="12"/>
  <c r="AL828" i="12"/>
  <c r="AM828" i="12"/>
  <c r="AN828" i="12"/>
  <c r="AO828" i="12"/>
  <c r="AP828" i="12"/>
  <c r="AQ828" i="12"/>
  <c r="AR828" i="12"/>
  <c r="AS828" i="12"/>
  <c r="AT828" i="12"/>
  <c r="AU828" i="12"/>
  <c r="AV828" i="12"/>
  <c r="AW828" i="12"/>
  <c r="AX828" i="12"/>
  <c r="AY828" i="12"/>
  <c r="AZ828" i="12"/>
  <c r="BA828" i="12"/>
  <c r="BB828" i="12"/>
  <c r="BC828" i="12"/>
  <c r="BD828" i="12"/>
  <c r="BE828" i="12"/>
  <c r="BF828" i="12"/>
  <c r="H942" i="12"/>
  <c r="H941" i="12" s="1"/>
  <c r="H940" i="12" s="1"/>
  <c r="H939" i="12" s="1"/>
  <c r="G942" i="12"/>
  <c r="G941" i="12" s="1"/>
  <c r="G940" i="12" s="1"/>
  <c r="G939" i="12" s="1"/>
  <c r="H943" i="12"/>
  <c r="G943" i="12"/>
  <c r="G1162" i="12"/>
  <c r="H1162" i="12"/>
  <c r="E332" i="13"/>
  <c r="E331" i="13" s="1"/>
  <c r="D332" i="13"/>
  <c r="D331" i="13" s="1"/>
  <c r="H316" i="12"/>
  <c r="G316" i="12"/>
  <c r="D428" i="13" l="1"/>
  <c r="D427" i="13" s="1"/>
  <c r="H659" i="12"/>
  <c r="G659" i="12"/>
  <c r="D426" i="13" l="1"/>
  <c r="D425" i="13" s="1"/>
  <c r="D424" i="13"/>
  <c r="D423" i="13" s="1"/>
  <c r="G655" i="12"/>
  <c r="G657" i="12"/>
  <c r="H1168" i="12" l="1"/>
  <c r="G1168" i="12"/>
  <c r="D408" i="13" l="1"/>
  <c r="D407" i="13" s="1"/>
  <c r="G602" i="12"/>
  <c r="D406" i="13"/>
  <c r="D405" i="13" s="1"/>
  <c r="G600" i="12"/>
  <c r="E204" i="13" l="1"/>
  <c r="D204" i="13"/>
  <c r="H150" i="12"/>
  <c r="G150" i="12"/>
  <c r="AC33" i="12" l="1"/>
  <c r="AF42" i="12"/>
  <c r="AR42" i="12"/>
  <c r="AT42" i="12"/>
  <c r="K43" i="12"/>
  <c r="R43" i="12"/>
  <c r="AA43" i="12"/>
  <c r="AF43" i="12"/>
  <c r="AI43" i="12"/>
  <c r="AR43" i="12"/>
  <c r="AT43" i="12"/>
  <c r="AA44" i="12"/>
  <c r="AL46" i="12"/>
  <c r="AM46" i="12"/>
  <c r="I67" i="12"/>
  <c r="J67" i="12"/>
  <c r="K67" i="12"/>
  <c r="L67" i="12"/>
  <c r="M67" i="12"/>
  <c r="N67" i="12"/>
  <c r="O67" i="12"/>
  <c r="P67" i="12"/>
  <c r="Q67" i="12"/>
  <c r="R67" i="12"/>
  <c r="S67" i="12"/>
  <c r="T67" i="12"/>
  <c r="U67" i="12"/>
  <c r="V67" i="12"/>
  <c r="W67" i="12"/>
  <c r="X67" i="12"/>
  <c r="Y67" i="12"/>
  <c r="Z67" i="12"/>
  <c r="AA67" i="12"/>
  <c r="AB67" i="12"/>
  <c r="AC67" i="12"/>
  <c r="AD67" i="12"/>
  <c r="AE67" i="12"/>
  <c r="AF67" i="12"/>
  <c r="AG67" i="12"/>
  <c r="AH67" i="12"/>
  <c r="AI67" i="12"/>
  <c r="AJ67" i="12"/>
  <c r="AK67" i="12"/>
  <c r="AL67" i="12"/>
  <c r="AM67" i="12"/>
  <c r="AN67" i="12"/>
  <c r="AO67" i="12"/>
  <c r="AP67" i="12"/>
  <c r="AQ67" i="12"/>
  <c r="AR67" i="12"/>
  <c r="AS67" i="12"/>
  <c r="AT67" i="12"/>
  <c r="AU67" i="12"/>
  <c r="AV67" i="12"/>
  <c r="R72" i="12"/>
  <c r="S72" i="12"/>
  <c r="U72" i="12"/>
  <c r="AA72" i="12"/>
  <c r="AC72" i="12"/>
  <c r="AF72" i="12"/>
  <c r="AI72" i="12"/>
  <c r="AR72" i="12"/>
  <c r="AT72" i="12"/>
  <c r="R74" i="12"/>
  <c r="U74" i="12"/>
  <c r="AI74" i="12"/>
  <c r="AR74" i="12"/>
  <c r="AT74" i="12"/>
  <c r="AF91" i="12"/>
  <c r="AF92" i="12"/>
  <c r="AF93" i="12"/>
  <c r="AE111" i="12"/>
  <c r="AI111" i="12"/>
  <c r="AS111" i="12"/>
  <c r="AU111" i="12"/>
  <c r="AR128" i="12"/>
  <c r="AF165" i="12"/>
  <c r="AR165" i="12"/>
  <c r="AT166" i="12"/>
  <c r="R255" i="12"/>
  <c r="AR255" i="12"/>
  <c r="AT255" i="12"/>
  <c r="R342" i="12"/>
  <c r="AR343" i="12"/>
  <c r="AT343" i="12"/>
  <c r="AC394" i="12"/>
  <c r="R463" i="12"/>
  <c r="S463" i="12"/>
  <c r="AA490" i="12"/>
  <c r="AF490" i="12"/>
  <c r="AR531" i="12"/>
  <c r="AQ532" i="12"/>
  <c r="AR532" i="12"/>
  <c r="AT532" i="12"/>
  <c r="L533" i="12"/>
  <c r="K552" i="12"/>
  <c r="AA553" i="12"/>
  <c r="I562" i="12"/>
  <c r="J562" i="12"/>
  <c r="K562" i="12"/>
  <c r="L562" i="12"/>
  <c r="M562" i="12"/>
  <c r="N562" i="12"/>
  <c r="O562" i="12"/>
  <c r="P562" i="12"/>
  <c r="Q562" i="12"/>
  <c r="R562" i="12"/>
  <c r="S562" i="12"/>
  <c r="T562" i="12"/>
  <c r="U562" i="12"/>
  <c r="V562" i="12"/>
  <c r="W562" i="12"/>
  <c r="X562" i="12"/>
  <c r="Y562" i="12"/>
  <c r="Z562" i="12"/>
  <c r="AA562" i="12"/>
  <c r="AB562" i="12"/>
  <c r="AC562" i="12"/>
  <c r="AD562" i="12"/>
  <c r="AE562" i="12"/>
  <c r="AF562" i="12"/>
  <c r="AG562" i="12"/>
  <c r="AH562" i="12"/>
  <c r="AI562" i="12"/>
  <c r="AJ562" i="12"/>
  <c r="AK562" i="12"/>
  <c r="AL562" i="12"/>
  <c r="AM562" i="12"/>
  <c r="AN562" i="12"/>
  <c r="AO562" i="12"/>
  <c r="AP562" i="12"/>
  <c r="AQ562" i="12"/>
  <c r="AR562" i="12"/>
  <c r="AS562" i="12"/>
  <c r="AT562" i="12"/>
  <c r="AU562" i="12"/>
  <c r="AV562" i="12"/>
  <c r="R647" i="12"/>
  <c r="R793" i="12"/>
  <c r="L798" i="12"/>
  <c r="K850" i="12"/>
  <c r="R850" i="12"/>
  <c r="X850" i="12"/>
  <c r="AA850" i="12"/>
  <c r="AI850" i="12"/>
  <c r="AL850" i="12"/>
  <c r="AM850" i="12"/>
  <c r="AR850" i="12"/>
  <c r="AT850" i="12"/>
  <c r="R904" i="12"/>
  <c r="S904" i="12"/>
  <c r="S905" i="12"/>
  <c r="AR980" i="12"/>
  <c r="AT980" i="12"/>
  <c r="AR982" i="12"/>
  <c r="AT982" i="12"/>
  <c r="R1017" i="12"/>
  <c r="R1019" i="12"/>
  <c r="AR1054" i="12"/>
  <c r="AT1054" i="12"/>
  <c r="L1060" i="12"/>
  <c r="AI1060" i="12"/>
  <c r="AR1060" i="12"/>
  <c r="AT1060" i="12"/>
  <c r="AI1212" i="12"/>
  <c r="AR1212" i="12"/>
  <c r="AT1212" i="12"/>
  <c r="I1242" i="12"/>
  <c r="J1242" i="12"/>
  <c r="K1242" i="12"/>
  <c r="L1242" i="12"/>
  <c r="M1242" i="12"/>
  <c r="U1242" i="12"/>
  <c r="V1242" i="12"/>
  <c r="W1242" i="12"/>
  <c r="X1242" i="12"/>
  <c r="AA1242" i="12"/>
  <c r="AB1242" i="12"/>
  <c r="AC1242" i="12"/>
  <c r="AD1242" i="12"/>
  <c r="AE1242" i="12"/>
  <c r="AF1242" i="12"/>
  <c r="AG1242" i="12"/>
  <c r="I1243" i="12"/>
  <c r="J1243" i="12"/>
  <c r="K1243" i="12"/>
  <c r="R1243" i="12"/>
  <c r="S1243" i="12"/>
  <c r="U1243" i="12"/>
  <c r="I1244" i="12"/>
  <c r="J1244" i="12"/>
  <c r="K1244" i="12"/>
  <c r="R1244" i="12"/>
  <c r="S1244" i="12"/>
  <c r="U1244" i="12"/>
  <c r="I1245" i="12"/>
  <c r="J1245" i="12"/>
  <c r="K1245" i="12"/>
  <c r="R1245" i="12"/>
  <c r="S1245" i="12"/>
  <c r="I1246" i="12"/>
  <c r="J1246" i="12"/>
  <c r="K1246" i="12"/>
  <c r="R1246" i="12"/>
  <c r="S1246" i="12"/>
  <c r="U1246" i="12"/>
  <c r="AI1251" i="12"/>
  <c r="AL1251" i="12"/>
  <c r="AM1251" i="12"/>
  <c r="AN1251" i="12"/>
  <c r="AO1251" i="12"/>
  <c r="AP1251" i="12"/>
  <c r="AQ1251" i="12"/>
  <c r="AR1251" i="12"/>
  <c r="AS1251" i="12"/>
  <c r="AS1252" i="12" s="1"/>
  <c r="AT1251" i="12"/>
  <c r="AU1251" i="12"/>
  <c r="E328" i="13"/>
  <c r="D328" i="13"/>
  <c r="H614" i="12"/>
  <c r="D312" i="13"/>
  <c r="D311" i="13" s="1"/>
  <c r="G612" i="12"/>
  <c r="H385" i="12"/>
  <c r="G385" i="12"/>
  <c r="E119" i="13"/>
  <c r="D119" i="13"/>
  <c r="BB46" i="12"/>
  <c r="BA46" i="12"/>
  <c r="BB850" i="12"/>
  <c r="BB43" i="12"/>
  <c r="BB42" i="12"/>
  <c r="BB1060" i="12"/>
  <c r="BB74" i="12"/>
  <c r="BA850" i="12"/>
  <c r="BA44" i="12"/>
  <c r="BA74" i="12"/>
  <c r="BA1060" i="12"/>
  <c r="BA593" i="12"/>
  <c r="BA532" i="12"/>
  <c r="BA73" i="12"/>
  <c r="BA72" i="12"/>
  <c r="BA43" i="12"/>
  <c r="E118" i="13"/>
  <c r="D118" i="13"/>
  <c r="G118" i="12"/>
  <c r="E310" i="13"/>
  <c r="E309" i="13" s="1"/>
  <c r="E312" i="13"/>
  <c r="E311" i="13" s="1"/>
  <c r="H612" i="12"/>
  <c r="G614" i="12"/>
  <c r="G591" i="12" l="1"/>
  <c r="D310" i="13"/>
  <c r="D309" i="13" s="1"/>
  <c r="T1246" i="12"/>
  <c r="T1243" i="12"/>
  <c r="S1247" i="12"/>
  <c r="T1245" i="12"/>
  <c r="R1247" i="12"/>
  <c r="U1247" i="12"/>
  <c r="AU1252" i="12"/>
  <c r="T1244" i="12"/>
  <c r="E117" i="13"/>
  <c r="H118" i="12"/>
  <c r="D117" i="13"/>
  <c r="BB1251" i="12"/>
  <c r="BA1251" i="12"/>
  <c r="T1247" i="12" l="1"/>
  <c r="BD1194" i="12"/>
  <c r="BC1194" i="12"/>
  <c r="BD151" i="12"/>
  <c r="BC151" i="12"/>
  <c r="BD128" i="12"/>
  <c r="BC128" i="12"/>
  <c r="BD1251" i="12"/>
  <c r="BD1252" i="12" s="1"/>
  <c r="BD1253" i="12" s="1"/>
  <c r="BC1251" i="12"/>
  <c r="BC1252" i="12" s="1"/>
  <c r="BC1253" i="12" s="1"/>
  <c r="D649" i="13" l="1"/>
  <c r="D648" i="13" s="1"/>
  <c r="D647" i="13" s="1"/>
  <c r="D646" i="13" s="1"/>
  <c r="D645" i="13" s="1"/>
  <c r="G518" i="12"/>
  <c r="G517" i="12" s="1"/>
  <c r="G516" i="12" s="1"/>
  <c r="G515" i="12" s="1"/>
  <c r="D404" i="13"/>
  <c r="D403" i="13" s="1"/>
  <c r="D402" i="13" s="1"/>
  <c r="G596" i="12"/>
  <c r="G595" i="12" s="1"/>
  <c r="D598" i="13" l="1"/>
  <c r="E712" i="13" l="1"/>
  <c r="D712" i="13"/>
  <c r="G63" i="14"/>
  <c r="F63" i="14"/>
  <c r="H1240" i="12"/>
  <c r="H1239" i="12" s="1"/>
  <c r="H1238" i="12" s="1"/>
  <c r="H1237" i="12" s="1"/>
  <c r="G1240" i="12"/>
  <c r="G1239" i="12" s="1"/>
  <c r="G1238" i="12" s="1"/>
  <c r="G1237" i="12" s="1"/>
  <c r="D597" i="13"/>
  <c r="D644" i="13" l="1"/>
  <c r="D643" i="13" s="1"/>
  <c r="H937" i="12"/>
  <c r="G937" i="12"/>
  <c r="G1193" i="12" l="1"/>
  <c r="H904" i="12" l="1"/>
  <c r="E377" i="13" l="1"/>
  <c r="D377" i="13"/>
  <c r="E376" i="13"/>
  <c r="D376" i="13"/>
  <c r="E344" i="13" l="1"/>
  <c r="D344" i="13"/>
  <c r="E203" i="13"/>
  <c r="E137" i="13"/>
  <c r="E136" i="13" s="1"/>
  <c r="E135" i="13" s="1"/>
  <c r="E134" i="13" s="1"/>
  <c r="D137" i="13"/>
  <c r="D136" i="13" s="1"/>
  <c r="D135" i="13" s="1"/>
  <c r="D134" i="13" s="1"/>
  <c r="AX1251" i="12"/>
  <c r="AY1251" i="12"/>
  <c r="AZ1251" i="12"/>
  <c r="AW1251" i="12"/>
  <c r="F136" i="13"/>
  <c r="H143" i="12"/>
  <c r="H142" i="12" s="1"/>
  <c r="H141" i="12" s="1"/>
  <c r="G143" i="12"/>
  <c r="G142" i="12" s="1"/>
  <c r="G141" i="12" s="1"/>
  <c r="D203" i="13"/>
  <c r="G149" i="12"/>
  <c r="G148" i="12" s="1"/>
  <c r="G147" i="12" s="1"/>
  <c r="D202" i="13" l="1"/>
  <c r="D201" i="13" s="1"/>
  <c r="D200" i="13" s="1"/>
  <c r="D199" i="13" s="1"/>
  <c r="E202" i="13"/>
  <c r="E201" i="13" s="1"/>
  <c r="E200" i="13" s="1"/>
  <c r="E199" i="13" s="1"/>
  <c r="H149" i="12"/>
  <c r="H148" i="12" s="1"/>
  <c r="H147" i="12" s="1"/>
  <c r="D366" i="13" l="1"/>
  <c r="D365" i="13" s="1"/>
  <c r="H1193" i="12"/>
  <c r="E366" i="13" s="1"/>
  <c r="E365" i="13" s="1"/>
  <c r="G1192" i="12"/>
  <c r="H903" i="12"/>
  <c r="E743" i="13"/>
  <c r="E742" i="13" s="1"/>
  <c r="D743" i="13"/>
  <c r="D742" i="13" s="1"/>
  <c r="E745" i="13"/>
  <c r="E744" i="13" s="1"/>
  <c r="D745" i="13"/>
  <c r="D744" i="13" s="1"/>
  <c r="G785" i="12"/>
  <c r="H785" i="12"/>
  <c r="H783" i="12"/>
  <c r="G783" i="12"/>
  <c r="H665" i="12"/>
  <c r="G665" i="12"/>
  <c r="E432" i="13"/>
  <c r="E431" i="13" s="1"/>
  <c r="D432" i="13"/>
  <c r="D431" i="13" s="1"/>
  <c r="H586" i="12"/>
  <c r="E31" i="13"/>
  <c r="D31" i="13"/>
  <c r="G663" i="12" l="1"/>
  <c r="G662" i="12" s="1"/>
  <c r="G661" i="12" s="1"/>
  <c r="D434" i="13"/>
  <c r="D433" i="13" s="1"/>
  <c r="D430" i="13" s="1"/>
  <c r="D429" i="13" s="1"/>
  <c r="H663" i="12"/>
  <c r="H662" i="12" s="1"/>
  <c r="H661" i="12" s="1"/>
  <c r="E434" i="13"/>
  <c r="E433" i="13" s="1"/>
  <c r="E430" i="13" s="1"/>
  <c r="E429" i="13" s="1"/>
  <c r="H1192" i="12"/>
  <c r="H70" i="12" l="1"/>
  <c r="G70" i="12" l="1"/>
  <c r="F16" i="13" l="1"/>
  <c r="D133" i="13"/>
  <c r="H140" i="12"/>
  <c r="E133" i="13" s="1"/>
  <c r="E132" i="13"/>
  <c r="G138" i="12"/>
  <c r="G137" i="12" s="1"/>
  <c r="G136" i="12" s="1"/>
  <c r="H138" i="12" l="1"/>
  <c r="H137" i="12" s="1"/>
  <c r="H136" i="12" s="1"/>
  <c r="D132" i="13"/>
  <c r="D131" i="13" s="1"/>
  <c r="D130" i="13" s="1"/>
  <c r="D129" i="13" s="1"/>
  <c r="E131" i="13"/>
  <c r="E130" i="13" s="1"/>
  <c r="E129" i="13" s="1"/>
  <c r="E671" i="13" l="1"/>
  <c r="E106" i="13"/>
  <c r="F693" i="13" l="1"/>
  <c r="H44" i="14" l="1"/>
  <c r="I44" i="14"/>
  <c r="J44" i="14"/>
  <c r="K44" i="14"/>
  <c r="H40" i="14"/>
  <c r="I40" i="14"/>
  <c r="J40" i="14"/>
  <c r="K40" i="14"/>
  <c r="H16" i="14"/>
  <c r="I16" i="14"/>
  <c r="J16" i="14"/>
  <c r="K16" i="14"/>
  <c r="G51" i="14"/>
  <c r="G17" i="14"/>
  <c r="E19" i="13"/>
  <c r="E780" i="13"/>
  <c r="E779" i="13" s="1"/>
  <c r="E778" i="13"/>
  <c r="E777" i="13" s="1"/>
  <c r="E768" i="13"/>
  <c r="E767" i="13" s="1"/>
  <c r="E766" i="13"/>
  <c r="E765" i="13" s="1"/>
  <c r="E760" i="13"/>
  <c r="E759" i="13" s="1"/>
  <c r="E758" i="13"/>
  <c r="E757" i="13" s="1"/>
  <c r="E756" i="13" s="1"/>
  <c r="E755" i="13"/>
  <c r="E754" i="13" s="1"/>
  <c r="E753" i="13"/>
  <c r="E752" i="13" s="1"/>
  <c r="E749" i="13" s="1"/>
  <c r="E748" i="13" s="1"/>
  <c r="E751" i="13"/>
  <c r="E750" i="13" s="1"/>
  <c r="E747" i="13"/>
  <c r="E746" i="13" s="1"/>
  <c r="E741" i="13"/>
  <c r="E740" i="13" s="1"/>
  <c r="E739" i="13"/>
  <c r="E735" i="13"/>
  <c r="E734" i="13"/>
  <c r="E732" i="13"/>
  <c r="E731" i="13"/>
  <c r="E725" i="13"/>
  <c r="E724" i="13"/>
  <c r="E723" i="13" s="1"/>
  <c r="E722" i="13"/>
  <c r="E721" i="13" s="1"/>
  <c r="E720" i="13"/>
  <c r="E719" i="13" s="1"/>
  <c r="E718" i="13" s="1"/>
  <c r="E717" i="13"/>
  <c r="E716" i="13" s="1"/>
  <c r="E715" i="13"/>
  <c r="E713" i="13" s="1"/>
  <c r="E714" i="13"/>
  <c r="E711" i="13"/>
  <c r="E710" i="13"/>
  <c r="E705" i="13"/>
  <c r="E702" i="13" s="1"/>
  <c r="E703" i="13"/>
  <c r="E701" i="13"/>
  <c r="E700" i="13"/>
  <c r="E698" i="13"/>
  <c r="E697" i="13"/>
  <c r="E696" i="13"/>
  <c r="E692" i="13"/>
  <c r="E691" i="13" s="1"/>
  <c r="E690" i="13"/>
  <c r="E689" i="13" s="1"/>
  <c r="E688" i="13"/>
  <c r="E687" i="13" s="1"/>
  <c r="E686" i="13" s="1"/>
  <c r="E685" i="13"/>
  <c r="E684" i="13" s="1"/>
  <c r="E683" i="13"/>
  <c r="E682" i="13"/>
  <c r="E681" i="13" s="1"/>
  <c r="E680" i="13" s="1"/>
  <c r="E679" i="13"/>
  <c r="E678" i="13" s="1"/>
  <c r="E677" i="13"/>
  <c r="E676" i="13" s="1"/>
  <c r="E675" i="13"/>
  <c r="E674" i="13" s="1"/>
  <c r="E673" i="13"/>
  <c r="E672" i="13"/>
  <c r="E669" i="13"/>
  <c r="E668" i="13" s="1"/>
  <c r="E667" i="13"/>
  <c r="E666" i="13" s="1"/>
  <c r="E663" i="13"/>
  <c r="E662" i="13" s="1"/>
  <c r="E661" i="13"/>
  <c r="E660" i="13" s="1"/>
  <c r="E659" i="13" s="1"/>
  <c r="E658" i="13"/>
  <c r="E657" i="13" s="1"/>
  <c r="E642" i="13"/>
  <c r="E641" i="13" s="1"/>
  <c r="E640" i="13" s="1"/>
  <c r="E639" i="13" s="1"/>
  <c r="E638" i="13"/>
  <c r="E637" i="13"/>
  <c r="E633" i="13"/>
  <c r="E632" i="13" s="1"/>
  <c r="E631" i="13" s="1"/>
  <c r="E630" i="13" s="1"/>
  <c r="E629" i="13" s="1"/>
  <c r="E627" i="13"/>
  <c r="E623" i="13"/>
  <c r="E622" i="13"/>
  <c r="E618" i="13"/>
  <c r="E617" i="13" s="1"/>
  <c r="E616" i="13" s="1"/>
  <c r="E610" i="13"/>
  <c r="E609" i="13" s="1"/>
  <c r="E608" i="13"/>
  <c r="E607" i="13" s="1"/>
  <c r="E606" i="13"/>
  <c r="E605" i="13" s="1"/>
  <c r="E604" i="13" s="1"/>
  <c r="E603" i="13" s="1"/>
  <c r="E592" i="13"/>
  <c r="E591" i="13" s="1"/>
  <c r="E590" i="13"/>
  <c r="E589" i="13" s="1"/>
  <c r="E588" i="13"/>
  <c r="E587" i="13" s="1"/>
  <c r="E586" i="13"/>
  <c r="E585" i="13" s="1"/>
  <c r="E584" i="13"/>
  <c r="E583" i="13" s="1"/>
  <c r="E582" i="13"/>
  <c r="E581" i="13" s="1"/>
  <c r="E580" i="13"/>
  <c r="E579" i="13" s="1"/>
  <c r="E578" i="13"/>
  <c r="E577" i="13" s="1"/>
  <c r="E576" i="13"/>
  <c r="E575" i="13" s="1"/>
  <c r="E574" i="13"/>
  <c r="E573" i="13" s="1"/>
  <c r="E572" i="13"/>
  <c r="E571" i="13" s="1"/>
  <c r="E570" i="13"/>
  <c r="E569" i="13" s="1"/>
  <c r="E568" i="13"/>
  <c r="E567" i="13" s="1"/>
  <c r="E564" i="13"/>
  <c r="E563" i="13" s="1"/>
  <c r="E562" i="13"/>
  <c r="E561" i="13" s="1"/>
  <c r="E559" i="13"/>
  <c r="E556" i="13"/>
  <c r="E555" i="13" s="1"/>
  <c r="E554" i="13"/>
  <c r="E553" i="13" s="1"/>
  <c r="E552" i="13"/>
  <c r="E551" i="13" s="1"/>
  <c r="E550" i="13"/>
  <c r="E549" i="13" s="1"/>
  <c r="E548" i="13"/>
  <c r="E547" i="13" s="1"/>
  <c r="E546" i="13"/>
  <c r="E545" i="13" s="1"/>
  <c r="E544" i="13"/>
  <c r="E543" i="13" s="1"/>
  <c r="E542" i="13"/>
  <c r="E541" i="13" s="1"/>
  <c r="E540" i="13"/>
  <c r="E539" i="13" s="1"/>
  <c r="E538" i="13"/>
  <c r="E537" i="13" s="1"/>
  <c r="E536" i="13"/>
  <c r="E535" i="13" s="1"/>
  <c r="E534" i="13"/>
  <c r="E533" i="13" s="1"/>
  <c r="E532" i="13"/>
  <c r="E531" i="13" s="1"/>
  <c r="E530" i="13"/>
  <c r="E529" i="13" s="1"/>
  <c r="E528" i="13"/>
  <c r="E527" i="13" s="1"/>
  <c r="E526" i="13"/>
  <c r="E525" i="13" s="1"/>
  <c r="E524" i="13"/>
  <c r="E523" i="13" s="1"/>
  <c r="E522" i="13"/>
  <c r="E521" i="13" s="1"/>
  <c r="E516" i="13"/>
  <c r="E515" i="13" s="1"/>
  <c r="E514" i="13"/>
  <c r="E513" i="13" s="1"/>
  <c r="E512" i="13"/>
  <c r="E511" i="13" s="1"/>
  <c r="E510" i="13"/>
  <c r="E509" i="13" s="1"/>
  <c r="E508" i="13"/>
  <c r="E507" i="13" s="1"/>
  <c r="E506" i="13"/>
  <c r="E505" i="13" s="1"/>
  <c r="E504" i="13"/>
  <c r="E503" i="13" s="1"/>
  <c r="E502" i="13"/>
  <c r="E501" i="13" s="1"/>
  <c r="E500" i="13"/>
  <c r="E499" i="13" s="1"/>
  <c r="E498" i="13"/>
  <c r="E497" i="13" s="1"/>
  <c r="E496" i="13"/>
  <c r="E495" i="13" s="1"/>
  <c r="E494" i="13"/>
  <c r="E493" i="13" s="1"/>
  <c r="E492" i="13"/>
  <c r="E491" i="13" s="1"/>
  <c r="E490" i="13"/>
  <c r="E489" i="13" s="1"/>
  <c r="E488" i="13"/>
  <c r="E487" i="13" s="1"/>
  <c r="E486" i="13"/>
  <c r="E485" i="13" s="1"/>
  <c r="E484" i="13"/>
  <c r="E483" i="13" s="1"/>
  <c r="E481" i="13"/>
  <c r="E480" i="13" s="1"/>
  <c r="E477" i="13"/>
  <c r="E476" i="13" s="1"/>
  <c r="E475" i="13"/>
  <c r="E474" i="13" s="1"/>
  <c r="E473" i="13" s="1"/>
  <c r="E472" i="13"/>
  <c r="E471" i="13" s="1"/>
  <c r="E470" i="13" s="1"/>
  <c r="E469" i="13"/>
  <c r="E468" i="13" s="1"/>
  <c r="E467" i="13"/>
  <c r="E464" i="13"/>
  <c r="E463" i="13"/>
  <c r="E462" i="13"/>
  <c r="E461" i="13" s="1"/>
  <c r="E460" i="13"/>
  <c r="E459" i="13" s="1"/>
  <c r="E456" i="13"/>
  <c r="E455" i="13" s="1"/>
  <c r="E454" i="13"/>
  <c r="E453" i="13" s="1"/>
  <c r="E452" i="13"/>
  <c r="E451" i="13" s="1"/>
  <c r="E450" i="13"/>
  <c r="E449" i="13" s="1"/>
  <c r="E446" i="13"/>
  <c r="E445" i="13" s="1"/>
  <c r="E444" i="13"/>
  <c r="E443" i="13" s="1"/>
  <c r="E442" i="13" s="1"/>
  <c r="E441" i="13"/>
  <c r="E440" i="13" s="1"/>
  <c r="E437" i="13"/>
  <c r="E436" i="13" s="1"/>
  <c r="E435" i="13" s="1"/>
  <c r="E422" i="13"/>
  <c r="E421" i="13" s="1"/>
  <c r="E420" i="13"/>
  <c r="E419" i="13" s="1"/>
  <c r="E418" i="13" s="1"/>
  <c r="E415" i="13"/>
  <c r="E414" i="13" s="1"/>
  <c r="E413" i="13"/>
  <c r="E412" i="13" s="1"/>
  <c r="E401" i="13"/>
  <c r="E400" i="13" s="1"/>
  <c r="E399" i="13" s="1"/>
  <c r="E396" i="13"/>
  <c r="E395" i="13" s="1"/>
  <c r="E394" i="13" s="1"/>
  <c r="E393" i="13"/>
  <c r="E392" i="13" s="1"/>
  <c r="E391" i="13" s="1"/>
  <c r="E390" i="13" s="1"/>
  <c r="E389" i="13"/>
  <c r="E388" i="13" s="1"/>
  <c r="E387" i="13" s="1"/>
  <c r="E384" i="13"/>
  <c r="E383" i="13"/>
  <c r="E382" i="13"/>
  <c r="E381" i="13"/>
  <c r="E374" i="13"/>
  <c r="E373" i="13" s="1"/>
  <c r="E372" i="13"/>
  <c r="E371" i="13"/>
  <c r="E364" i="13"/>
  <c r="E363" i="13" s="1"/>
  <c r="E362" i="13" s="1"/>
  <c r="E361" i="13"/>
  <c r="E360" i="13" s="1"/>
  <c r="E359" i="13" s="1"/>
  <c r="E355" i="13"/>
  <c r="E354" i="13" s="1"/>
  <c r="E353" i="13" s="1"/>
  <c r="E352" i="13" s="1"/>
  <c r="E351" i="13"/>
  <c r="E350" i="13" s="1"/>
  <c r="E349" i="13"/>
  <c r="E348" i="13" s="1"/>
  <c r="E347" i="13" s="1"/>
  <c r="E346" i="13"/>
  <c r="E345" i="13" s="1"/>
  <c r="E343" i="13"/>
  <c r="E341" i="13"/>
  <c r="E340" i="13"/>
  <c r="E338" i="13"/>
  <c r="E337" i="13"/>
  <c r="E330" i="13"/>
  <c r="E329" i="13"/>
  <c r="E325" i="13"/>
  <c r="E324" i="13"/>
  <c r="E323" i="13"/>
  <c r="E321" i="13"/>
  <c r="E320" i="13" s="1"/>
  <c r="E319" i="13"/>
  <c r="E318" i="13"/>
  <c r="E315" i="13"/>
  <c r="E308" i="13"/>
  <c r="E307" i="13"/>
  <c r="E303" i="13"/>
  <c r="E301" i="13"/>
  <c r="E300" i="13"/>
  <c r="E293" i="13"/>
  <c r="E292" i="13" s="1"/>
  <c r="E291" i="13" s="1"/>
  <c r="E290" i="13" s="1"/>
  <c r="E288" i="13"/>
  <c r="E287" i="13"/>
  <c r="E284" i="13"/>
  <c r="E283" i="13" s="1"/>
  <c r="E282" i="13"/>
  <c r="E281" i="13" s="1"/>
  <c r="E278" i="13"/>
  <c r="E277" i="13" s="1"/>
  <c r="E276" i="13"/>
  <c r="E275" i="13"/>
  <c r="E273" i="13"/>
  <c r="E272" i="13" s="1"/>
  <c r="E271" i="13"/>
  <c r="E270" i="13" s="1"/>
  <c r="E269" i="13"/>
  <c r="E268" i="13" s="1"/>
  <c r="E267" i="13"/>
  <c r="E266" i="13"/>
  <c r="E264" i="13"/>
  <c r="E263" i="13"/>
  <c r="E259" i="13"/>
  <c r="E258" i="13" s="1"/>
  <c r="E257" i="13"/>
  <c r="E256" i="13"/>
  <c r="E254" i="13"/>
  <c r="E253" i="13" s="1"/>
  <c r="E252" i="13" s="1"/>
  <c r="E251" i="13"/>
  <c r="E250" i="13" s="1"/>
  <c r="E248" i="13"/>
  <c r="E247" i="13" s="1"/>
  <c r="E246" i="13" s="1"/>
  <c r="E245" i="13"/>
  <c r="E244" i="13" s="1"/>
  <c r="E243" i="13"/>
  <c r="E242" i="13" s="1"/>
  <c r="E241" i="13"/>
  <c r="E240" i="13"/>
  <c r="E235" i="13"/>
  <c r="E234" i="13"/>
  <c r="E233" i="13" s="1"/>
  <c r="E232" i="13"/>
  <c r="E231" i="13" s="1"/>
  <c r="E228" i="13"/>
  <c r="E227" i="13" s="1"/>
  <c r="E226" i="13"/>
  <c r="E225" i="13" s="1"/>
  <c r="E224" i="13" s="1"/>
  <c r="E223" i="13"/>
  <c r="E222" i="13" s="1"/>
  <c r="E221" i="13"/>
  <c r="E220" i="13" s="1"/>
  <c r="E219" i="13"/>
  <c r="E218" i="13"/>
  <c r="E217" i="13"/>
  <c r="E213" i="13"/>
  <c r="E212" i="13" s="1"/>
  <c r="E210" i="13"/>
  <c r="E209" i="13"/>
  <c r="E208" i="13" s="1"/>
  <c r="E198" i="13"/>
  <c r="E197" i="13" s="1"/>
  <c r="E195" i="13"/>
  <c r="E194" i="13" s="1"/>
  <c r="E192" i="13"/>
  <c r="E191" i="13" s="1"/>
  <c r="E190" i="13" s="1"/>
  <c r="E188" i="13"/>
  <c r="E187" i="13" s="1"/>
  <c r="E186" i="13"/>
  <c r="E185" i="13" s="1"/>
  <c r="E183" i="13"/>
  <c r="E182" i="13" s="1"/>
  <c r="E179" i="13"/>
  <c r="E178" i="13" s="1"/>
  <c r="E177" i="13"/>
  <c r="E176" i="13" s="1"/>
  <c r="E175" i="13"/>
  <c r="E174" i="13"/>
  <c r="E170" i="13"/>
  <c r="E169" i="13"/>
  <c r="E167" i="13"/>
  <c r="E166" i="13"/>
  <c r="E163" i="13"/>
  <c r="E162" i="13" s="1"/>
  <c r="E161" i="13"/>
  <c r="E160" i="13" s="1"/>
  <c r="E159" i="13"/>
  <c r="E158" i="13" s="1"/>
  <c r="E157" i="13"/>
  <c r="E156" i="13" s="1"/>
  <c r="E155" i="13"/>
  <c r="E154" i="13"/>
  <c r="E150" i="13"/>
  <c r="E149" i="13"/>
  <c r="E146" i="13"/>
  <c r="E145" i="13" s="1"/>
  <c r="E144" i="13"/>
  <c r="E143" i="13"/>
  <c r="E128" i="13"/>
  <c r="E127" i="13"/>
  <c r="E125" i="13"/>
  <c r="E124" i="13"/>
  <c r="E116" i="13"/>
  <c r="E115" i="13" s="1"/>
  <c r="E114" i="13"/>
  <c r="E113" i="13"/>
  <c r="E112" i="13"/>
  <c r="E111" i="13"/>
  <c r="E109" i="13"/>
  <c r="E108" i="13"/>
  <c r="E107" i="13"/>
  <c r="E103" i="13"/>
  <c r="E102" i="13"/>
  <c r="E101" i="13" s="1"/>
  <c r="E100" i="13"/>
  <c r="E99" i="13"/>
  <c r="E96" i="13"/>
  <c r="E95" i="13" s="1"/>
  <c r="E94" i="13"/>
  <c r="E93" i="13" s="1"/>
  <c r="E92" i="13" s="1"/>
  <c r="E91" i="13" s="1"/>
  <c r="E90" i="13" s="1"/>
  <c r="E89" i="13"/>
  <c r="E88" i="13" s="1"/>
  <c r="E87" i="13"/>
  <c r="E86" i="13" s="1"/>
  <c r="E84" i="13"/>
  <c r="E83" i="13" s="1"/>
  <c r="E82" i="13"/>
  <c r="E81" i="13" s="1"/>
  <c r="E80" i="13"/>
  <c r="E79" i="13" s="1"/>
  <c r="E78" i="13"/>
  <c r="E77" i="13" s="1"/>
  <c r="E76" i="13"/>
  <c r="E74" i="13" s="1"/>
  <c r="E75" i="13"/>
  <c r="E73" i="13"/>
  <c r="E72" i="13"/>
  <c r="E70" i="13"/>
  <c r="E69" i="13" s="1"/>
  <c r="E67" i="13"/>
  <c r="E66" i="13" s="1"/>
  <c r="E65" i="13"/>
  <c r="E64" i="13"/>
  <c r="E61" i="13"/>
  <c r="E60" i="13" s="1"/>
  <c r="E59" i="13"/>
  <c r="E58" i="13" s="1"/>
  <c r="E57" i="13"/>
  <c r="E56" i="13"/>
  <c r="E55" i="13"/>
  <c r="E53" i="13"/>
  <c r="E52" i="13" s="1"/>
  <c r="E51" i="13"/>
  <c r="E50" i="13"/>
  <c r="E49" i="13"/>
  <c r="E47" i="13"/>
  <c r="E46" i="13"/>
  <c r="E45" i="13"/>
  <c r="E43" i="13"/>
  <c r="E42" i="13" s="1"/>
  <c r="E41" i="13"/>
  <c r="E39" i="13"/>
  <c r="E38" i="13" s="1"/>
  <c r="E36" i="13"/>
  <c r="E35" i="13"/>
  <c r="E34" i="13"/>
  <c r="E33" i="13"/>
  <c r="E30" i="13"/>
  <c r="E29" i="13"/>
  <c r="E28" i="13"/>
  <c r="E26" i="13"/>
  <c r="E25" i="13" s="1"/>
  <c r="E24" i="13"/>
  <c r="E23" i="13"/>
  <c r="E21" i="13"/>
  <c r="E20" i="13"/>
  <c r="H1249" i="12"/>
  <c r="H1247" i="12"/>
  <c r="H1233" i="12"/>
  <c r="H1231" i="12"/>
  <c r="H1228" i="12"/>
  <c r="H1226" i="12"/>
  <c r="H1224" i="12"/>
  <c r="H1222" i="12"/>
  <c r="H1217" i="12"/>
  <c r="H1216" i="12" s="1"/>
  <c r="H1215" i="12" s="1"/>
  <c r="H1213" i="12"/>
  <c r="H1211" i="12"/>
  <c r="H1206" i="12"/>
  <c r="H1205" i="12" s="1"/>
  <c r="H1204" i="12" s="1"/>
  <c r="H1203" i="12" s="1"/>
  <c r="H1199" i="12"/>
  <c r="H1198" i="12" s="1"/>
  <c r="H1197" i="12" s="1"/>
  <c r="H1188" i="12"/>
  <c r="H1187" i="12" s="1"/>
  <c r="H1186" i="12" s="1"/>
  <c r="H1185" i="12" s="1"/>
  <c r="H1184" i="12" s="1"/>
  <c r="G58" i="14" s="1"/>
  <c r="H1182" i="12"/>
  <c r="H1181" i="12" s="1"/>
  <c r="H1180" i="12" s="1"/>
  <c r="H1178" i="12"/>
  <c r="H1176" i="12"/>
  <c r="H1175" i="12" s="1"/>
  <c r="H1171" i="12"/>
  <c r="H1170" i="12" s="1"/>
  <c r="H1167" i="12"/>
  <c r="H1165" i="12"/>
  <c r="H1164" i="12" s="1"/>
  <c r="H1160" i="12"/>
  <c r="H1155" i="12"/>
  <c r="H1154" i="12" s="1"/>
  <c r="H1153" i="12" s="1"/>
  <c r="H1152" i="12" s="1"/>
  <c r="H1150" i="12"/>
  <c r="H1149" i="12" s="1"/>
  <c r="H1148" i="12" s="1"/>
  <c r="H1144" i="12"/>
  <c r="H1143" i="12" s="1"/>
  <c r="H1141" i="12"/>
  <c r="H1140" i="12" s="1"/>
  <c r="H1135" i="12"/>
  <c r="H1134" i="12" s="1"/>
  <c r="H1133" i="12" s="1"/>
  <c r="H1131" i="12"/>
  <c r="H1130" i="12"/>
  <c r="H1129" i="12" s="1"/>
  <c r="H1128" i="12"/>
  <c r="H1127" i="12" s="1"/>
  <c r="H1126" i="12" s="1"/>
  <c r="H1124" i="12"/>
  <c r="H1123" i="12" s="1"/>
  <c r="H1122" i="12" s="1"/>
  <c r="H1121" i="12" s="1"/>
  <c r="H1118" i="12"/>
  <c r="H1117" i="12" s="1"/>
  <c r="H1112" i="12"/>
  <c r="H1111" i="12"/>
  <c r="H1109" i="12" s="1"/>
  <c r="H1106" i="12"/>
  <c r="H1105" i="12"/>
  <c r="H1103" i="12" s="1"/>
  <c r="H1101" i="12"/>
  <c r="H1099" i="12"/>
  <c r="H1094" i="12"/>
  <c r="H1088" i="12" s="1"/>
  <c r="H1087" i="12" s="1"/>
  <c r="H1092" i="12"/>
  <c r="H1091" i="12" s="1"/>
  <c r="H1090" i="12" s="1"/>
  <c r="H1085" i="12"/>
  <c r="H1082" i="12"/>
  <c r="H1078" i="12" s="1"/>
  <c r="H1077" i="12" s="1"/>
  <c r="H1076" i="12" s="1"/>
  <c r="H1075" i="12" s="1"/>
  <c r="H1073" i="12"/>
  <c r="H1072" i="12"/>
  <c r="H1071" i="12" s="1"/>
  <c r="H1070" i="12" s="1"/>
  <c r="H1068" i="12"/>
  <c r="H1065" i="12" s="1"/>
  <c r="H1066" i="12"/>
  <c r="H1063" i="12"/>
  <c r="H1061" i="12"/>
  <c r="H1059" i="12"/>
  <c r="H1058" i="12"/>
  <c r="H1055" i="12"/>
  <c r="H1052" i="12"/>
  <c r="H1047" i="12"/>
  <c r="H1046" i="12" s="1"/>
  <c r="H1043" i="12"/>
  <c r="H1041" i="12" s="1"/>
  <c r="H1039" i="12"/>
  <c r="H1035" i="12"/>
  <c r="H1033" i="12"/>
  <c r="H1031" i="12"/>
  <c r="H1030" i="12" s="1"/>
  <c r="H1024" i="12"/>
  <c r="H1018" i="12"/>
  <c r="H1016" i="12"/>
  <c r="H1015" i="12" s="1"/>
  <c r="H1013" i="12"/>
  <c r="H1012" i="12" s="1"/>
  <c r="H1009" i="12"/>
  <c r="H1007" i="12"/>
  <c r="H1006" i="12" s="1"/>
  <c r="H1002" i="12"/>
  <c r="H1001" i="12" s="1"/>
  <c r="H1000" i="12" s="1"/>
  <c r="H998" i="12"/>
  <c r="H997" i="12" s="1"/>
  <c r="H996" i="12" s="1"/>
  <c r="H995" i="12" s="1"/>
  <c r="H994" i="12" s="1"/>
  <c r="H991" i="12"/>
  <c r="H990" i="12" s="1"/>
  <c r="H988" i="12"/>
  <c r="H987" i="12" s="1"/>
  <c r="H983" i="12"/>
  <c r="H981" i="12"/>
  <c r="H979" i="12"/>
  <c r="H977" i="12"/>
  <c r="H975" i="12"/>
  <c r="H969" i="12"/>
  <c r="H964" i="12"/>
  <c r="H963" i="12"/>
  <c r="H962" i="12" s="1"/>
  <c r="H960" i="12"/>
  <c r="H958" i="12"/>
  <c r="H952" i="12"/>
  <c r="H951" i="12" s="1"/>
  <c r="H950" i="12" s="1"/>
  <c r="H948" i="12"/>
  <c r="H947" i="12" s="1"/>
  <c r="H935" i="12"/>
  <c r="H934" i="12" s="1"/>
  <c r="H933" i="12" s="1"/>
  <c r="H932" i="12" s="1"/>
  <c r="H931" i="12" s="1"/>
  <c r="H928" i="12"/>
  <c r="H927" i="12" s="1"/>
  <c r="H926" i="12" s="1"/>
  <c r="H925" i="12" s="1"/>
  <c r="H924" i="12" s="1"/>
  <c r="H922" i="12"/>
  <c r="H921" i="12" s="1"/>
  <c r="H915" i="12"/>
  <c r="H913" i="12" s="1"/>
  <c r="H912" i="12" s="1"/>
  <c r="H911" i="12" s="1"/>
  <c r="E624" i="13" s="1"/>
  <c r="H899" i="12"/>
  <c r="H894" i="12"/>
  <c r="H892" i="12"/>
  <c r="H890" i="12"/>
  <c r="H888" i="12"/>
  <c r="H886" i="12"/>
  <c r="H883" i="12"/>
  <c r="H881" i="12"/>
  <c r="H879" i="12"/>
  <c r="H877" i="12"/>
  <c r="H875" i="12"/>
  <c r="H873" i="12"/>
  <c r="H871" i="12"/>
  <c r="H869" i="12"/>
  <c r="H867" i="12"/>
  <c r="H866" i="12" s="1"/>
  <c r="H861" i="12"/>
  <c r="H860" i="12" s="1"/>
  <c r="H849" i="12" s="1"/>
  <c r="H848" i="12" s="1"/>
  <c r="H857" i="12"/>
  <c r="H855" i="12"/>
  <c r="H854" i="12" s="1"/>
  <c r="H852" i="12"/>
  <c r="H851" i="12" s="1"/>
  <c r="H845" i="12"/>
  <c r="H844" i="12" s="1"/>
  <c r="H843" i="12" s="1"/>
  <c r="H842" i="12" s="1"/>
  <c r="H841" i="12" s="1"/>
  <c r="H840" i="12"/>
  <c r="H839" i="12" s="1"/>
  <c r="H838" i="12" s="1"/>
  <c r="H837" i="12" s="1"/>
  <c r="H836" i="12" s="1"/>
  <c r="H834" i="12"/>
  <c r="H832" i="12"/>
  <c r="H831" i="12" s="1"/>
  <c r="H823" i="12"/>
  <c r="H822" i="12" s="1"/>
  <c r="H820" i="12"/>
  <c r="H818" i="12"/>
  <c r="H814" i="12"/>
  <c r="H813" i="12" s="1"/>
  <c r="H812" i="12" s="1"/>
  <c r="H807" i="12"/>
  <c r="H805" i="12"/>
  <c r="H799" i="12"/>
  <c r="H797" i="12"/>
  <c r="H792" i="12"/>
  <c r="H791" i="12" s="1"/>
  <c r="H790" i="12" s="1"/>
  <c r="H789" i="12" s="1"/>
  <c r="H781" i="12"/>
  <c r="H779" i="12"/>
  <c r="H778" i="12" s="1"/>
  <c r="H776" i="12"/>
  <c r="H774" i="12"/>
  <c r="H773" i="12" s="1"/>
  <c r="H772" i="12" s="1"/>
  <c r="H770" i="12"/>
  <c r="H766" i="12"/>
  <c r="H765" i="12" s="1"/>
  <c r="H761" i="12"/>
  <c r="H760" i="12" s="1"/>
  <c r="H759" i="12" s="1"/>
  <c r="H756" i="12"/>
  <c r="H755" i="12" s="1"/>
  <c r="H754" i="12" s="1"/>
  <c r="H750" i="12"/>
  <c r="H749" i="12" s="1"/>
  <c r="H748" i="12" s="1"/>
  <c r="H747" i="12" s="1"/>
  <c r="H745" i="12"/>
  <c r="H743" i="12"/>
  <c r="H741" i="12"/>
  <c r="H739" i="12"/>
  <c r="H737" i="12"/>
  <c r="H735" i="12"/>
  <c r="H733" i="12"/>
  <c r="H730" i="12"/>
  <c r="H728" i="12"/>
  <c r="H726" i="12"/>
  <c r="H724" i="12"/>
  <c r="H722" i="12"/>
  <c r="H720" i="12"/>
  <c r="H718" i="12"/>
  <c r="H716" i="12"/>
  <c r="H714" i="12"/>
  <c r="H712" i="12"/>
  <c r="H710" i="12"/>
  <c r="H708" i="12"/>
  <c r="H706" i="12"/>
  <c r="H704" i="12"/>
  <c r="H700" i="12"/>
  <c r="H698" i="12"/>
  <c r="H697" i="12" s="1"/>
  <c r="H696" i="12" s="1"/>
  <c r="H694" i="12"/>
  <c r="H693" i="12" s="1"/>
  <c r="H690" i="12"/>
  <c r="H688" i="12"/>
  <c r="H684" i="12"/>
  <c r="H682" i="12"/>
  <c r="H681" i="12" s="1"/>
  <c r="H679" i="12"/>
  <c r="H678" i="12" s="1"/>
  <c r="H675" i="12"/>
  <c r="H674" i="12" s="1"/>
  <c r="H672" i="12"/>
  <c r="H668" i="12"/>
  <c r="H667" i="12" s="1"/>
  <c r="H653" i="12"/>
  <c r="H651" i="12"/>
  <c r="H650" i="12" s="1"/>
  <c r="H646" i="12"/>
  <c r="H645" i="12" s="1"/>
  <c r="H640" i="12"/>
  <c r="H639" i="12" s="1"/>
  <c r="H638" i="12" s="1"/>
  <c r="H637" i="12" s="1"/>
  <c r="H635" i="12"/>
  <c r="H634" i="12" s="1"/>
  <c r="H633" i="12" s="1"/>
  <c r="H626" i="12" s="1"/>
  <c r="G27" i="14" s="1"/>
  <c r="H631" i="12"/>
  <c r="H629" i="12"/>
  <c r="H624" i="12"/>
  <c r="H623" i="12" s="1"/>
  <c r="H621" i="12"/>
  <c r="H620" i="12" s="1"/>
  <c r="H608" i="12"/>
  <c r="H607" i="12" s="1"/>
  <c r="H606" i="12" s="1"/>
  <c r="H605" i="12" s="1"/>
  <c r="H598" i="12"/>
  <c r="H591" i="12"/>
  <c r="H590" i="12" s="1"/>
  <c r="H583" i="12"/>
  <c r="H580" i="12"/>
  <c r="H576" i="12"/>
  <c r="H571" i="12"/>
  <c r="H569" i="12"/>
  <c r="H566" i="12"/>
  <c r="H559" i="12"/>
  <c r="H558" i="12" s="1"/>
  <c r="H556" i="12"/>
  <c r="H555" i="12" s="1"/>
  <c r="H554" i="12" s="1"/>
  <c r="H551" i="12"/>
  <c r="H548" i="12"/>
  <c r="H547" i="12" s="1"/>
  <c r="H543" i="12"/>
  <c r="H541" i="12"/>
  <c r="H540" i="12" s="1"/>
  <c r="H538" i="12"/>
  <c r="H537" i="12" s="1"/>
  <c r="H534" i="12"/>
  <c r="H530" i="12"/>
  <c r="H526" i="12"/>
  <c r="H525" i="12" s="1"/>
  <c r="H524" i="12" s="1"/>
  <c r="H513" i="12"/>
  <c r="H512" i="12" s="1"/>
  <c r="H511" i="12" s="1"/>
  <c r="H510" i="12" s="1"/>
  <c r="H508" i="12"/>
  <c r="H507" i="12" s="1"/>
  <c r="H505" i="12"/>
  <c r="H503" i="12"/>
  <c r="H502" i="12" s="1"/>
  <c r="H500" i="12"/>
  <c r="H499" i="12"/>
  <c r="H496" i="12"/>
  <c r="H495" i="12" s="1"/>
  <c r="H493" i="12"/>
  <c r="H491" i="12"/>
  <c r="H488" i="12"/>
  <c r="H482" i="12"/>
  <c r="H481" i="12" s="1"/>
  <c r="H480" i="12" s="1"/>
  <c r="H479" i="12" s="1"/>
  <c r="H478" i="12" s="1"/>
  <c r="H477" i="12" s="1"/>
  <c r="G19" i="14" s="1"/>
  <c r="H475" i="12"/>
  <c r="H474" i="12" s="1"/>
  <c r="H471" i="12"/>
  <c r="H470" i="12" s="1"/>
  <c r="H468" i="12" s="1"/>
  <c r="H466" i="12"/>
  <c r="H461" i="12" s="1"/>
  <c r="H455" i="12"/>
  <c r="H454" i="12" s="1"/>
  <c r="H453" i="12" s="1"/>
  <c r="H450" i="12"/>
  <c r="H447" i="12"/>
  <c r="H441" i="12"/>
  <c r="H439" i="12" s="1"/>
  <c r="H438" i="12" s="1"/>
  <c r="H437" i="12" s="1"/>
  <c r="H436" i="12" s="1"/>
  <c r="H435" i="12" s="1"/>
  <c r="G12" i="14" s="1"/>
  <c r="H432" i="12"/>
  <c r="H431" i="12" s="1"/>
  <c r="H430" i="12" s="1"/>
  <c r="H429" i="12" s="1"/>
  <c r="H428" i="12" s="1"/>
  <c r="H427" i="12" s="1"/>
  <c r="H425" i="12"/>
  <c r="H423" i="12"/>
  <c r="H422" i="12" s="1"/>
  <c r="H420" i="12"/>
  <c r="H419" i="12" s="1"/>
  <c r="H415" i="12"/>
  <c r="H412" i="12"/>
  <c r="H409" i="12"/>
  <c r="H407" i="12"/>
  <c r="H405" i="12"/>
  <c r="H403" i="12"/>
  <c r="H401" i="12"/>
  <c r="H398" i="12"/>
  <c r="H396" i="12"/>
  <c r="H392" i="12" s="1"/>
  <c r="H384" i="12"/>
  <c r="H383" i="12" s="1"/>
  <c r="H382" i="12" s="1"/>
  <c r="H381" i="12" s="1"/>
  <c r="H379" i="12"/>
  <c r="H378" i="12" s="1"/>
  <c r="H377" i="12" s="1"/>
  <c r="H376" i="12" s="1"/>
  <c r="H375" i="12" s="1"/>
  <c r="H374" i="12" s="1"/>
  <c r="H373" i="12" s="1"/>
  <c r="H371" i="12"/>
  <c r="H369" i="12"/>
  <c r="H368" i="12" s="1"/>
  <c r="H366" i="12"/>
  <c r="H363" i="12"/>
  <c r="H362" i="12" s="1"/>
  <c r="H357" i="12"/>
  <c r="H356" i="12" s="1"/>
  <c r="H355" i="12" s="1"/>
  <c r="H353" i="12"/>
  <c r="H352" i="12" s="1"/>
  <c r="H351" i="12" s="1"/>
  <c r="H350" i="12" s="1"/>
  <c r="G20" i="14" s="1"/>
  <c r="H348" i="12"/>
  <c r="H346" i="12"/>
  <c r="H344" i="12"/>
  <c r="H341" i="12"/>
  <c r="H334" i="12"/>
  <c r="H333" i="12" s="1"/>
  <c r="H332" i="12" s="1"/>
  <c r="H331" i="12" s="1"/>
  <c r="H330" i="12" s="1"/>
  <c r="H329" i="12" s="1"/>
  <c r="H326" i="12"/>
  <c r="H325" i="12" s="1"/>
  <c r="H324" i="12" s="1"/>
  <c r="H317" i="12"/>
  <c r="H315" i="12" s="1"/>
  <c r="H312" i="12"/>
  <c r="H311" i="12" s="1"/>
  <c r="H310" i="12" s="1"/>
  <c r="H308" i="12"/>
  <c r="H306" i="12"/>
  <c r="H303" i="12"/>
  <c r="H302" i="12" s="1"/>
  <c r="H300" i="12"/>
  <c r="H298" i="12"/>
  <c r="H290" i="12"/>
  <c r="H289" i="12" s="1"/>
  <c r="H288" i="12" s="1"/>
  <c r="H287" i="12" s="1"/>
  <c r="H284" i="12"/>
  <c r="H282" i="12"/>
  <c r="H274" i="12"/>
  <c r="H273" i="12" s="1"/>
  <c r="H272" i="12" s="1"/>
  <c r="H271" i="12" s="1"/>
  <c r="H269" i="12"/>
  <c r="H268" i="12" s="1"/>
  <c r="H266" i="12"/>
  <c r="H263" i="12"/>
  <c r="H257" i="12"/>
  <c r="H253" i="12"/>
  <c r="H243" i="12"/>
  <c r="H241" i="12"/>
  <c r="H240" i="12" s="1"/>
  <c r="H237" i="12"/>
  <c r="H236" i="12" s="1"/>
  <c r="H234" i="12"/>
  <c r="H231" i="12"/>
  <c r="H226" i="12"/>
  <c r="H223" i="12"/>
  <c r="H222" i="12" s="1"/>
  <c r="H220" i="12"/>
  <c r="H217" i="12"/>
  <c r="H215" i="12"/>
  <c r="H214" i="12"/>
  <c r="H213" i="12" s="1"/>
  <c r="H211" i="12"/>
  <c r="H206" i="12"/>
  <c r="H205" i="12" s="1"/>
  <c r="H204" i="12" s="1"/>
  <c r="H200" i="12"/>
  <c r="E596" i="13" s="1"/>
  <c r="E595" i="13" s="1"/>
  <c r="H198" i="12"/>
  <c r="H197" i="12" s="1"/>
  <c r="H195" i="12"/>
  <c r="E518" i="13" s="1"/>
  <c r="E517" i="13" s="1"/>
  <c r="H193" i="12"/>
  <c r="H189" i="12"/>
  <c r="H187" i="12"/>
  <c r="H186" i="12"/>
  <c r="H185" i="12" s="1"/>
  <c r="H181" i="12"/>
  <c r="H180" i="12" s="1"/>
  <c r="H179" i="12" s="1"/>
  <c r="H178" i="12" s="1"/>
  <c r="H176" i="12"/>
  <c r="H173" i="12"/>
  <c r="H170" i="12"/>
  <c r="H167" i="12"/>
  <c r="H163" i="12"/>
  <c r="H157" i="12"/>
  <c r="H133" i="12"/>
  <c r="H132" i="12" s="1"/>
  <c r="H131" i="12" s="1"/>
  <c r="H130" i="12" s="1"/>
  <c r="H127" i="12"/>
  <c r="H124" i="12"/>
  <c r="H116" i="12"/>
  <c r="H110" i="12"/>
  <c r="H107" i="12"/>
  <c r="H105" i="12"/>
  <c r="H104" i="12" s="1"/>
  <c r="H103" i="12" s="1"/>
  <c r="H102" i="12" s="1"/>
  <c r="H99" i="12"/>
  <c r="H97" i="12"/>
  <c r="H95" i="12"/>
  <c r="H90" i="12"/>
  <c r="H89" i="12" s="1"/>
  <c r="H87" i="12"/>
  <c r="H85" i="12"/>
  <c r="H84" i="12" s="1"/>
  <c r="H80" i="12"/>
  <c r="H69" i="12" s="1"/>
  <c r="H61" i="12"/>
  <c r="H60" i="12" s="1"/>
  <c r="H58" i="12"/>
  <c r="H55" i="12"/>
  <c r="H53" i="12"/>
  <c r="H51" i="12"/>
  <c r="H45" i="12"/>
  <c r="H41" i="12"/>
  <c r="H34" i="12"/>
  <c r="H31" i="12"/>
  <c r="H25" i="12"/>
  <c r="H24" i="12" s="1"/>
  <c r="H23" i="12" s="1"/>
  <c r="H22" i="12" s="1"/>
  <c r="H17" i="12"/>
  <c r="H15" i="12"/>
  <c r="G357" i="12"/>
  <c r="G356" i="12" s="1"/>
  <c r="G355" i="12" s="1"/>
  <c r="D692" i="13"/>
  <c r="D691" i="13" s="1"/>
  <c r="E448" i="13" l="1"/>
  <c r="E447" i="13" s="1"/>
  <c r="E280" i="13"/>
  <c r="E279" i="13" s="1"/>
  <c r="H239" i="12"/>
  <c r="H262" i="12"/>
  <c r="H473" i="12"/>
  <c r="H472" i="12" s="1"/>
  <c r="G16" i="14" s="1"/>
  <c r="H604" i="12"/>
  <c r="G24" i="14" s="1"/>
  <c r="E342" i="13"/>
  <c r="H1196" i="12"/>
  <c r="G60" i="14" s="1"/>
  <c r="H192" i="12"/>
  <c r="H191" i="12" s="1"/>
  <c r="H764" i="12"/>
  <c r="H1098" i="12"/>
  <c r="H1108" i="12"/>
  <c r="E358" i="13"/>
  <c r="E636" i="13"/>
  <c r="E635" i="13" s="1"/>
  <c r="E634" i="13" s="1"/>
  <c r="H94" i="12"/>
  <c r="H487" i="12"/>
  <c r="H804" i="12"/>
  <c r="H803" i="12" s="1"/>
  <c r="H802" i="12" s="1"/>
  <c r="H801" i="12" s="1"/>
  <c r="H14" i="12"/>
  <c r="H13" i="12" s="1"/>
  <c r="H12" i="12" s="1"/>
  <c r="H11" i="12" s="1"/>
  <c r="H10" i="12" s="1"/>
  <c r="H868" i="12"/>
  <c r="H957" i="12"/>
  <c r="H956" i="12" s="1"/>
  <c r="H955" i="12" s="1"/>
  <c r="H954" i="12" s="1"/>
  <c r="H946" i="12" s="1"/>
  <c r="H945" i="12" s="1"/>
  <c r="H172" i="12"/>
  <c r="H671" i="12"/>
  <c r="H670" i="12" s="1"/>
  <c r="H644" i="12" s="1"/>
  <c r="H830" i="12"/>
  <c r="H829" i="12" s="1"/>
  <c r="H1221" i="12"/>
  <c r="H50" i="12"/>
  <c r="H460" i="12"/>
  <c r="H459" i="12" s="1"/>
  <c r="H458" i="12" s="1"/>
  <c r="H1210" i="12"/>
  <c r="H1209" i="12" s="1"/>
  <c r="H210" i="12"/>
  <c r="H209" i="12" s="1"/>
  <c r="H1139" i="12"/>
  <c r="H1138" i="12" s="1"/>
  <c r="H885" i="12"/>
  <c r="H30" i="12"/>
  <c r="H29" i="12" s="1"/>
  <c r="H28" i="12" s="1"/>
  <c r="H21" i="12" s="1"/>
  <c r="H446" i="12"/>
  <c r="H445" i="12" s="1"/>
  <c r="H444" i="12" s="1"/>
  <c r="H589" i="12"/>
  <c r="H340" i="12"/>
  <c r="H339" i="12" s="1"/>
  <c r="H338" i="12" s="1"/>
  <c r="H337" i="12" s="1"/>
  <c r="H336" i="12" s="1"/>
  <c r="H335" i="12" s="1"/>
  <c r="H546" i="12"/>
  <c r="H545" i="12" s="1"/>
  <c r="H565" i="12"/>
  <c r="H564" i="12" s="1"/>
  <c r="H1022" i="12"/>
  <c r="H1021" i="12" s="1"/>
  <c r="H261" i="12"/>
  <c r="H575" i="12"/>
  <c r="H574" i="12" s="1"/>
  <c r="H1159" i="12"/>
  <c r="H1158" i="12" s="1"/>
  <c r="H1156" i="12" s="1"/>
  <c r="H1174" i="12"/>
  <c r="H1173" i="12" s="1"/>
  <c r="H1246" i="12"/>
  <c r="H1245" i="12" s="1"/>
  <c r="H1244" i="12" s="1"/>
  <c r="H1243" i="12" s="1"/>
  <c r="H1242" i="12" s="1"/>
  <c r="E594" i="13"/>
  <c r="E593" i="13" s="1"/>
  <c r="E628" i="13"/>
  <c r="E626" i="13" s="1"/>
  <c r="E709" i="13"/>
  <c r="E708" i="13" s="1"/>
  <c r="E707" i="13" s="1"/>
  <c r="H230" i="12"/>
  <c r="H229" i="12" s="1"/>
  <c r="H297" i="12"/>
  <c r="H305" i="12"/>
  <c r="H418" i="12"/>
  <c r="H417" i="12" s="1"/>
  <c r="H529" i="12"/>
  <c r="H528" i="12" s="1"/>
  <c r="H520" i="12" s="1"/>
  <c r="H619" i="12"/>
  <c r="H618" i="12" s="1"/>
  <c r="H617" i="12" s="1"/>
  <c r="G26" i="14" s="1"/>
  <c r="H687" i="12"/>
  <c r="H686" i="12" s="1"/>
  <c r="E613" i="13"/>
  <c r="H109" i="12"/>
  <c r="H68" i="12" s="1"/>
  <c r="H252" i="12"/>
  <c r="H251" i="12" s="1"/>
  <c r="H281" i="12"/>
  <c r="H280" i="12" s="1"/>
  <c r="H279" i="12" s="1"/>
  <c r="H278" i="12" s="1"/>
  <c r="H277" i="12" s="1"/>
  <c r="H628" i="12"/>
  <c r="H627" i="12" s="1"/>
  <c r="H1005" i="12"/>
  <c r="H1230" i="12"/>
  <c r="E566" i="13"/>
  <c r="E565" i="13" s="1"/>
  <c r="E625" i="13"/>
  <c r="H498" i="12"/>
  <c r="H1120" i="12"/>
  <c r="G56" i="14" s="1"/>
  <c r="E466" i="13"/>
  <c r="E465" i="13" s="1"/>
  <c r="E560" i="13"/>
  <c r="E558" i="13" s="1"/>
  <c r="H974" i="12"/>
  <c r="H973" i="12" s="1"/>
  <c r="H972" i="12" s="1"/>
  <c r="H986" i="12"/>
  <c r="H985" i="12" s="1"/>
  <c r="H1147" i="12"/>
  <c r="E27" i="13"/>
  <c r="H380" i="12"/>
  <c r="G62" i="14"/>
  <c r="H692" i="12"/>
  <c r="H314" i="12"/>
  <c r="E181" i="13"/>
  <c r="E180" i="13" s="1"/>
  <c r="E85" i="13"/>
  <c r="E98" i="13"/>
  <c r="E97" i="13" s="1"/>
  <c r="E123" i="13"/>
  <c r="E142" i="13"/>
  <c r="E141" i="13" s="1"/>
  <c r="H156" i="12"/>
  <c r="H400" i="12"/>
  <c r="E32" i="13"/>
  <c r="E262" i="13"/>
  <c r="E730" i="13"/>
  <c r="E729" i="13" s="1"/>
  <c r="E265" i="13"/>
  <c r="H703" i="12"/>
  <c r="H677" i="12"/>
  <c r="H732" i="12"/>
  <c r="E370" i="13"/>
  <c r="E369" i="13" s="1"/>
  <c r="E670" i="13"/>
  <c r="E665" i="13" s="1"/>
  <c r="E664" i="13" s="1"/>
  <c r="E110" i="13"/>
  <c r="E148" i="13"/>
  <c r="E147" i="13" s="1"/>
  <c r="E336" i="13"/>
  <c r="E380" i="13"/>
  <c r="E379" i="13" s="1"/>
  <c r="E378" i="13" s="1"/>
  <c r="E482" i="13"/>
  <c r="E479" i="13" s="1"/>
  <c r="E105" i="13"/>
  <c r="E375" i="13"/>
  <c r="E738" i="13"/>
  <c r="E737" i="13" s="1"/>
  <c r="E165" i="13"/>
  <c r="E164" i="13" s="1"/>
  <c r="E173" i="13"/>
  <c r="E172" i="13" s="1"/>
  <c r="E171" i="13" s="1"/>
  <c r="E274" i="13"/>
  <c r="E306" i="13"/>
  <c r="E302" i="13" s="1"/>
  <c r="E40" i="13"/>
  <c r="E216" i="13"/>
  <c r="E215" i="13" s="1"/>
  <c r="E214" i="13" s="1"/>
  <c r="E299" i="13"/>
  <c r="E298" i="13" s="1"/>
  <c r="E48" i="13"/>
  <c r="E695" i="13"/>
  <c r="E694" i="13" s="1"/>
  <c r="E693" i="13" s="1"/>
  <c r="E63" i="13"/>
  <c r="E71" i="13"/>
  <c r="E62" i="13"/>
  <c r="E153" i="13"/>
  <c r="E152" i="13" s="1"/>
  <c r="E168" i="13"/>
  <c r="E230" i="13"/>
  <c r="E229" i="13" s="1"/>
  <c r="E239" i="13"/>
  <c r="E238" i="13" s="1"/>
  <c r="E237" i="13" s="1"/>
  <c r="E322" i="13"/>
  <c r="E327" i="13"/>
  <c r="E326" i="13" s="1"/>
  <c r="E439" i="13"/>
  <c r="E438" i="13" s="1"/>
  <c r="E410" i="13" s="1"/>
  <c r="E458" i="13"/>
  <c r="E457" i="13" s="1"/>
  <c r="E520" i="13"/>
  <c r="E656" i="13"/>
  <c r="E699" i="13"/>
  <c r="E207" i="13"/>
  <c r="E206" i="13" s="1"/>
  <c r="E18" i="13"/>
  <c r="E22" i="13"/>
  <c r="E54" i="13"/>
  <c r="E126" i="13"/>
  <c r="E255" i="13"/>
  <c r="E317" i="13"/>
  <c r="E314" i="13" s="1"/>
  <c r="E339" i="13"/>
  <c r="E621" i="13"/>
  <c r="E620" i="13" s="1"/>
  <c r="E619" i="13" s="1"/>
  <c r="E615" i="13" s="1"/>
  <c r="E776" i="13"/>
  <c r="E775" i="13" s="1"/>
  <c r="H1116" i="12"/>
  <c r="H1051" i="12"/>
  <c r="H1050" i="12" s="1"/>
  <c r="H1049" i="12" s="1"/>
  <c r="H1011" i="12"/>
  <c r="H930" i="12"/>
  <c r="G37" i="14" s="1"/>
  <c r="G36" i="14"/>
  <c r="H817" i="12"/>
  <c r="H816" i="12" s="1"/>
  <c r="H811" i="12" s="1"/>
  <c r="G32" i="14" s="1"/>
  <c r="H796" i="12"/>
  <c r="H795" i="12" s="1"/>
  <c r="H794" i="12" s="1"/>
  <c r="H753" i="12"/>
  <c r="E733" i="13"/>
  <c r="E286" i="13"/>
  <c r="E285" i="13" s="1"/>
  <c r="E184" i="13"/>
  <c r="E764" i="13"/>
  <c r="E763" i="13" s="1"/>
  <c r="E762" i="13" s="1"/>
  <c r="E761" i="13" s="1"/>
  <c r="E386" i="13"/>
  <c r="E519" i="13"/>
  <c r="E44" i="13"/>
  <c r="E189" i="13"/>
  <c r="E249" i="13"/>
  <c r="H486" i="12"/>
  <c r="H485" i="12" s="1"/>
  <c r="H40" i="12"/>
  <c r="H763" i="12"/>
  <c r="H184" i="12"/>
  <c r="H183" i="12" s="1"/>
  <c r="H1045" i="12"/>
  <c r="H1044" i="12"/>
  <c r="H365" i="12"/>
  <c r="H361" i="12" s="1"/>
  <c r="H360" i="12" s="1"/>
  <c r="H359" i="12" s="1"/>
  <c r="H391" i="12"/>
  <c r="H847" i="12"/>
  <c r="H920" i="12"/>
  <c r="H919" i="12" s="1"/>
  <c r="H918" i="12"/>
  <c r="H917" i="12" s="1"/>
  <c r="H916" i="12" s="1"/>
  <c r="G34" i="14" s="1"/>
  <c r="H1042" i="12"/>
  <c r="H296" i="12" l="1"/>
  <c r="H295" i="12" s="1"/>
  <c r="H294" i="12" s="1"/>
  <c r="H443" i="12"/>
  <c r="H1004" i="12"/>
  <c r="H993" i="12" s="1"/>
  <c r="G43" i="14" s="1"/>
  <c r="H1220" i="12"/>
  <c r="H1219" i="12" s="1"/>
  <c r="H1097" i="12"/>
  <c r="H1096" i="12" s="1"/>
  <c r="H67" i="12"/>
  <c r="H66" i="12" s="1"/>
  <c r="G40" i="14" s="1"/>
  <c r="E297" i="13"/>
  <c r="H562" i="12"/>
  <c r="H788" i="12"/>
  <c r="G31" i="14" s="1"/>
  <c r="H859" i="12"/>
  <c r="H846" i="12" s="1"/>
  <c r="E736" i="13"/>
  <c r="E727" i="13" s="1"/>
  <c r="H390" i="12"/>
  <c r="H389" i="12" s="1"/>
  <c r="H388" i="12" s="1"/>
  <c r="H203" i="12"/>
  <c r="H202" i="12" s="1"/>
  <c r="H155" i="12"/>
  <c r="H154" i="12" s="1"/>
  <c r="H153" i="12" s="1"/>
  <c r="E368" i="13"/>
  <c r="E367" i="13" s="1"/>
  <c r="G48" i="14"/>
  <c r="H702" i="12"/>
  <c r="H643" i="12" s="1"/>
  <c r="H642" i="12" s="1"/>
  <c r="G28" i="14" s="1"/>
  <c r="H1020" i="12"/>
  <c r="H39" i="12"/>
  <c r="H38" i="12" s="1"/>
  <c r="H37" i="12" s="1"/>
  <c r="G39" i="14" s="1"/>
  <c r="E557" i="13"/>
  <c r="E478" i="13" s="1"/>
  <c r="H250" i="12"/>
  <c r="H249" i="12" s="1"/>
  <c r="G45" i="14" s="1"/>
  <c r="H1208" i="12"/>
  <c r="H1195" i="12" s="1"/>
  <c r="H484" i="12"/>
  <c r="H434" i="12" s="1"/>
  <c r="E728" i="13"/>
  <c r="H971" i="12"/>
  <c r="H752" i="12"/>
  <c r="G29" i="14" s="1"/>
  <c r="E335" i="13"/>
  <c r="E334" i="13" s="1"/>
  <c r="H1137" i="12"/>
  <c r="H923" i="12"/>
  <c r="E104" i="13"/>
  <c r="E140" i="13"/>
  <c r="E313" i="13"/>
  <c r="E409" i="13"/>
  <c r="E151" i="13"/>
  <c r="G35" i="14"/>
  <c r="E17" i="13"/>
  <c r="H1115" i="12"/>
  <c r="G55" i="14"/>
  <c r="E205" i="13"/>
  <c r="H20" i="12"/>
  <c r="G14" i="14"/>
  <c r="E655" i="13"/>
  <c r="E16" i="13" l="1"/>
  <c r="E15" i="13" s="1"/>
  <c r="H944" i="12"/>
  <c r="G44" i="14"/>
  <c r="G47" i="14"/>
  <c r="G46" i="14" s="1"/>
  <c r="H387" i="12"/>
  <c r="H386" i="12" s="1"/>
  <c r="G61" i="14"/>
  <c r="G59" i="14" s="1"/>
  <c r="G57" i="14"/>
  <c r="G54" i="14" s="1"/>
  <c r="G21" i="14"/>
  <c r="G11" i="14" s="1"/>
  <c r="H286" i="12"/>
  <c r="G41" i="14"/>
  <c r="H561" i="12"/>
  <c r="G23" i="14"/>
  <c r="G22" i="14" s="1"/>
  <c r="G25" i="14"/>
  <c r="H36" i="12"/>
  <c r="H616" i="12"/>
  <c r="H1114" i="12"/>
  <c r="E296" i="13"/>
  <c r="E13" i="13" l="1"/>
  <c r="G38" i="14"/>
  <c r="H19" i="12"/>
  <c r="F17" i="14" l="1"/>
  <c r="G200" i="12" l="1"/>
  <c r="G198" i="12"/>
  <c r="G197" i="12" s="1"/>
  <c r="G195" i="12"/>
  <c r="G193" i="12"/>
  <c r="G189" i="12"/>
  <c r="G167" i="12"/>
  <c r="G34" i="12"/>
  <c r="D401" i="13" l="1"/>
  <c r="D400" i="13" s="1"/>
  <c r="D399" i="13" s="1"/>
  <c r="G598" i="12"/>
  <c r="D51" i="13" l="1"/>
  <c r="D35" i="13"/>
  <c r="D778" i="13" l="1"/>
  <c r="G1249" i="12"/>
  <c r="G1247" i="12"/>
  <c r="D780" i="13" l="1"/>
  <c r="G1246" i="12"/>
  <c r="G1245" i="12" s="1"/>
  <c r="G1244" i="12" s="1"/>
  <c r="G1243" i="12" s="1"/>
  <c r="G1242" i="12" s="1"/>
  <c r="G922" i="12" l="1"/>
  <c r="D700" i="13"/>
  <c r="G471" i="12"/>
  <c r="D669" i="13"/>
  <c r="D278" i="13"/>
  <c r="D277" i="13" s="1"/>
  <c r="G348" i="12"/>
  <c r="D679" i="13"/>
  <c r="D678" i="13" s="1"/>
  <c r="D146" i="13"/>
  <c r="D59" i="13"/>
  <c r="D58" i="13" s="1"/>
  <c r="D57" i="13"/>
  <c r="D177" i="13"/>
  <c r="D176" i="13" s="1"/>
  <c r="D33" i="13"/>
  <c r="D675" i="13"/>
  <c r="D779" i="13"/>
  <c r="G346" i="12" l="1"/>
  <c r="G17" i="12"/>
  <c r="G470" i="12"/>
  <c r="G466" i="12"/>
  <c r="D766" i="13" l="1"/>
  <c r="D765" i="13" s="1"/>
  <c r="D768" i="13"/>
  <c r="D767" i="13" s="1"/>
  <c r="G805" i="12"/>
  <c r="G807" i="12"/>
  <c r="G804" i="12" l="1"/>
  <c r="G803" i="12" s="1"/>
  <c r="G802" i="12" s="1"/>
  <c r="G801" i="12" s="1"/>
  <c r="D764" i="13"/>
  <c r="D763" i="13" s="1"/>
  <c r="D762" i="13" s="1"/>
  <c r="D761" i="13" s="1"/>
  <c r="D287" i="13"/>
  <c r="G1043" i="12"/>
  <c r="G915" i="12"/>
  <c r="D454" i="13"/>
  <c r="G31" i="12" l="1"/>
  <c r="G482" i="12"/>
  <c r="G481" i="12" l="1"/>
  <c r="D710" i="13"/>
  <c r="D658" i="13" l="1"/>
  <c r="G363" i="12"/>
  <c r="G362" i="12" s="1"/>
  <c r="G526" i="12" l="1"/>
  <c r="G379" i="12"/>
  <c r="G378" i="12" s="1"/>
  <c r="G187" i="12" l="1"/>
  <c r="G231" i="12" l="1"/>
  <c r="D741" i="13" l="1"/>
  <c r="D740" i="13" s="1"/>
  <c r="G559" i="12"/>
  <c r="G558" i="12" s="1"/>
  <c r="G1055" i="12" l="1"/>
  <c r="D481" i="13"/>
  <c r="D480" i="13" s="1"/>
  <c r="G867" i="12"/>
  <c r="D477" i="13"/>
  <c r="D476" i="13" s="1"/>
  <c r="D243" i="13"/>
  <c r="D221" i="13"/>
  <c r="D89" i="13"/>
  <c r="D88" i="13" s="1"/>
  <c r="D87" i="13"/>
  <c r="D86" i="13" s="1"/>
  <c r="D113" i="13"/>
  <c r="D85" i="13" l="1"/>
  <c r="G87" i="12"/>
  <c r="G85" i="12"/>
  <c r="G84" i="12" s="1"/>
  <c r="G857" i="12"/>
  <c r="G488" i="12"/>
  <c r="G886" i="12"/>
  <c r="G750" i="12" l="1"/>
  <c r="G749" i="12" s="1"/>
  <c r="G748" i="12" s="1"/>
  <c r="G747" i="12" s="1"/>
  <c r="D96" i="13" l="1"/>
  <c r="D95" i="13" s="1"/>
  <c r="D53" i="13" l="1"/>
  <c r="D52" i="13" s="1"/>
  <c r="G170" i="12"/>
  <c r="D45" i="13"/>
  <c r="D467" i="13" l="1"/>
  <c r="D608" i="13"/>
  <c r="D607" i="13" s="1"/>
  <c r="G505" i="12"/>
  <c r="G1106" i="12" l="1"/>
  <c r="G852" i="12"/>
  <c r="G851" i="12" s="1"/>
  <c r="G508" i="12"/>
  <c r="G507" i="12" s="1"/>
  <c r="D364" i="13" l="1"/>
  <c r="D363" i="13" s="1"/>
  <c r="D362" i="13" s="1"/>
  <c r="D475" i="13"/>
  <c r="D474" i="13" s="1"/>
  <c r="D473" i="13" s="1"/>
  <c r="D94" i="13"/>
  <c r="D93" i="13" s="1"/>
  <c r="D92" i="13" s="1"/>
  <c r="D50" i="13"/>
  <c r="D48" i="13" s="1"/>
  <c r="D393" i="13"/>
  <c r="G1171" i="12"/>
  <c r="G1170" i="12" s="1"/>
  <c r="G855" i="12"/>
  <c r="G854" i="12" s="1"/>
  <c r="D91" i="13" l="1"/>
  <c r="D90" i="13" s="1"/>
  <c r="G1099" i="12"/>
  <c r="D469" i="13" l="1"/>
  <c r="D468" i="13" s="1"/>
  <c r="G468" i="12"/>
  <c r="D103" i="13" l="1"/>
  <c r="D99" i="13"/>
  <c r="G90" i="12" l="1"/>
  <c r="D446" i="13"/>
  <c r="D445" i="13" s="1"/>
  <c r="D149" i="13"/>
  <c r="D163" i="13"/>
  <c r="D162" i="13" s="1"/>
  <c r="D109" i="13"/>
  <c r="G700" i="12" l="1"/>
  <c r="G220" i="12"/>
  <c r="G1167" i="12" l="1"/>
  <c r="D351" i="13" l="1"/>
  <c r="D350" i="13" s="1"/>
  <c r="D705" i="13" l="1"/>
  <c r="D702" i="13" s="1"/>
  <c r="G845" i="12"/>
  <c r="G1031" i="12" l="1"/>
  <c r="G1030" i="12" s="1"/>
  <c r="D628" i="13"/>
  <c r="G818" i="12"/>
  <c r="D685" i="13"/>
  <c r="D179" i="13"/>
  <c r="D178" i="13" s="1"/>
  <c r="D65" i="13"/>
  <c r="D64" i="13"/>
  <c r="D319" i="13"/>
  <c r="D318" i="13"/>
  <c r="G95" i="12"/>
  <c r="D84" i="13"/>
  <c r="D83" i="13" s="1"/>
  <c r="G905" i="12" l="1"/>
  <c r="H905" i="12"/>
  <c r="H902" i="12" s="1"/>
  <c r="H901" i="12" s="1"/>
  <c r="H898" i="12" s="1"/>
  <c r="H828" i="12" s="1"/>
  <c r="G461" i="12"/>
  <c r="D622" i="13"/>
  <c r="G913" i="12"/>
  <c r="D317" i="13"/>
  <c r="D155" i="13"/>
  <c r="G366" i="12"/>
  <c r="G58" i="12"/>
  <c r="G211" i="12"/>
  <c r="D154" i="13"/>
  <c r="G133" i="12"/>
  <c r="G132" i="12" s="1"/>
  <c r="G131" i="12" s="1"/>
  <c r="G130" i="12" s="1"/>
  <c r="G903" i="12"/>
  <c r="G33" i="14" l="1"/>
  <c r="G30" i="14" s="1"/>
  <c r="G10" i="14" s="1"/>
  <c r="H787" i="12"/>
  <c r="H433" i="12" s="1"/>
  <c r="H9" i="12" s="1"/>
  <c r="G844" i="12"/>
  <c r="G843" i="12" s="1"/>
  <c r="G842" i="12" s="1"/>
  <c r="G841" i="12" s="1"/>
  <c r="G823" i="12" l="1"/>
  <c r="G822" i="12" s="1"/>
  <c r="D610" i="13" l="1"/>
  <c r="D609" i="13" s="1"/>
  <c r="D72" i="13"/>
  <c r="G530" i="12"/>
  <c r="G53" i="12" l="1"/>
  <c r="D111" i="13" l="1"/>
  <c r="D116" i="13"/>
  <c r="D522" i="13"/>
  <c r="D521" i="13" s="1"/>
  <c r="D559" i="13"/>
  <c r="D484" i="13"/>
  <c r="D483" i="13" s="1"/>
  <c r="G820" i="12"/>
  <c r="G817" i="12" s="1"/>
  <c r="G1111" i="12"/>
  <c r="G1109" i="12" s="1"/>
  <c r="G1105" i="12"/>
  <c r="G1103" i="12" s="1"/>
  <c r="D466" i="13"/>
  <c r="D465" i="13" s="1"/>
  <c r="D731" i="13" l="1"/>
  <c r="D688" i="13"/>
  <c r="D690" i="13"/>
  <c r="D422" i="13"/>
  <c r="D384" i="13"/>
  <c r="D47" i="13"/>
  <c r="D82" i="13"/>
  <c r="D81" i="13" s="1"/>
  <c r="D284" i="13" l="1"/>
  <c r="D321" i="13"/>
  <c r="D677" i="13"/>
  <c r="D676" i="13" s="1"/>
  <c r="D671" i="13"/>
  <c r="D349" i="13"/>
  <c r="D346" i="13"/>
  <c r="D209" i="13"/>
  <c r="D150" i="13"/>
  <c r="D257" i="13"/>
  <c r="D256" i="13"/>
  <c r="D254" i="13"/>
  <c r="D234" i="13"/>
  <c r="D232" i="13"/>
  <c r="D213" i="13"/>
  <c r="D355" i="13"/>
  <c r="D181" i="13"/>
  <c r="D661" i="13"/>
  <c r="D43" i="13" l="1"/>
  <c r="D42" i="13" s="1"/>
  <c r="D39" i="13"/>
  <c r="D38" i="13" s="1"/>
  <c r="D389" i="13"/>
  <c r="D627" i="13"/>
  <c r="D626" i="13" s="1"/>
  <c r="D623" i="13"/>
  <c r="D621" i="13" s="1"/>
  <c r="D460" i="13"/>
  <c r="D361" i="13"/>
  <c r="D753" i="13"/>
  <c r="D747" i="13"/>
  <c r="D739" i="13"/>
  <c r="D441" i="13"/>
  <c r="D437" i="13"/>
  <c r="D420" i="13"/>
  <c r="D606" i="13"/>
  <c r="D605" i="13" s="1"/>
  <c r="D604" i="13" s="1"/>
  <c r="D472" i="13"/>
  <c r="D300" i="13"/>
  <c r="D724" i="13"/>
  <c r="D720" i="13"/>
  <c r="D697" i="13"/>
  <c r="D698" i="13"/>
  <c r="D696" i="13"/>
  <c r="D682" i="13"/>
  <c r="D633" i="13"/>
  <c r="D456" i="13"/>
  <c r="D248" i="13"/>
  <c r="F243" i="13" s="1"/>
  <c r="D241" i="13"/>
  <c r="D240" i="13"/>
  <c r="D709" i="13"/>
  <c r="D708" i="13" s="1"/>
  <c r="D722" i="13"/>
  <c r="D673" i="13"/>
  <c r="D338" i="13"/>
  <c r="D337" i="13"/>
  <c r="D308" i="13"/>
  <c r="D307" i="13"/>
  <c r="D667" i="13"/>
  <c r="D666" i="13" s="1"/>
  <c r="D502" i="13"/>
  <c r="D501" i="13" s="1"/>
  <c r="D540" i="13"/>
  <c r="D539" i="13" s="1"/>
  <c r="D226" i="13"/>
  <c r="D218" i="13"/>
  <c r="D219" i="13"/>
  <c r="D217" i="13"/>
  <c r="D715" i="13"/>
  <c r="D341" i="13"/>
  <c r="D340" i="13"/>
  <c r="D330" i="13"/>
  <c r="D329" i="13"/>
  <c r="D55" i="13"/>
  <c r="D19" i="13"/>
  <c r="D324" i="13"/>
  <c r="D144" i="13"/>
  <c r="D143" i="13"/>
  <c r="D56" i="13"/>
  <c r="D174" i="13"/>
  <c r="D169" i="13"/>
  <c r="D166" i="13"/>
  <c r="D596" i="13"/>
  <c r="D595" i="13" s="1"/>
  <c r="D594" i="13"/>
  <c r="D593" i="13" s="1"/>
  <c r="D54" i="13" l="1"/>
  <c r="D142" i="13"/>
  <c r="F217" i="13"/>
  <c r="D518" i="13"/>
  <c r="D517" i="13" s="1"/>
  <c r="D516" i="13"/>
  <c r="D515" i="13" s="1"/>
  <c r="D556" i="13"/>
  <c r="D555" i="13" s="1"/>
  <c r="D554" i="13"/>
  <c r="D553" i="13" s="1"/>
  <c r="D128" i="13"/>
  <c r="D70" i="13"/>
  <c r="D67" i="13"/>
  <c r="D100" i="13"/>
  <c r="D98" i="13" s="1"/>
  <c r="D28" i="13"/>
  <c r="D112" i="13"/>
  <c r="D26" i="13"/>
  <c r="D24" i="13"/>
  <c r="D23" i="13"/>
  <c r="D21" i="13"/>
  <c r="D80" i="13"/>
  <c r="D22" i="13" l="1"/>
  <c r="D79" i="13"/>
  <c r="D777" i="13"/>
  <c r="D282" i="13" l="1"/>
  <c r="D532" i="13" l="1"/>
  <c r="D531" i="13" s="1"/>
  <c r="G1222" i="12"/>
  <c r="D494" i="13"/>
  <c r="D493" i="13" s="1"/>
  <c r="G1231" i="12"/>
  <c r="D552" i="13"/>
  <c r="D551" i="13" s="1"/>
  <c r="G1224" i="12"/>
  <c r="D514" i="13"/>
  <c r="D513" i="13" s="1"/>
  <c r="G1233" i="12"/>
  <c r="D572" i="13"/>
  <c r="D571" i="13" s="1"/>
  <c r="G1226" i="12"/>
  <c r="D592" i="13"/>
  <c r="D591" i="13" s="1"/>
  <c r="G1228" i="12"/>
  <c r="D492" i="13"/>
  <c r="D491" i="13" s="1"/>
  <c r="D570" i="13"/>
  <c r="D569" i="13" s="1"/>
  <c r="D560" i="13"/>
  <c r="D558" i="13" s="1"/>
  <c r="D530" i="13"/>
  <c r="D529" i="13" s="1"/>
  <c r="G1068" i="12"/>
  <c r="D167" i="13"/>
  <c r="D450" i="13"/>
  <c r="G720" i="12" l="1"/>
  <c r="D568" i="13"/>
  <c r="D567" i="13" s="1"/>
  <c r="G745" i="12"/>
  <c r="D512" i="13"/>
  <c r="D511" i="13" s="1"/>
  <c r="D717" i="13"/>
  <c r="G1118" i="12"/>
  <c r="G1221" i="12"/>
  <c r="G706" i="12"/>
  <c r="D528" i="13"/>
  <c r="D527" i="13" s="1"/>
  <c r="G714" i="12"/>
  <c r="D546" i="13"/>
  <c r="D545" i="13" s="1"/>
  <c r="G730" i="12"/>
  <c r="D590" i="13"/>
  <c r="D589" i="13" s="1"/>
  <c r="G708" i="12"/>
  <c r="D536" i="13"/>
  <c r="D535" i="13" s="1"/>
  <c r="G716" i="12"/>
  <c r="D550" i="13"/>
  <c r="D549" i="13" s="1"/>
  <c r="G724" i="12"/>
  <c r="D578" i="13"/>
  <c r="D577" i="13" s="1"/>
  <c r="G733" i="12"/>
  <c r="D488" i="13"/>
  <c r="D487" i="13" s="1"/>
  <c r="G741" i="12"/>
  <c r="D506" i="13"/>
  <c r="D505" i="13" s="1"/>
  <c r="G921" i="12"/>
  <c r="D614" i="13"/>
  <c r="D613" i="13" s="1"/>
  <c r="D603" i="13" s="1"/>
  <c r="G873" i="12"/>
  <c r="D524" i="13"/>
  <c r="G881" i="12"/>
  <c r="D582" i="13"/>
  <c r="D581" i="13" s="1"/>
  <c r="G892" i="12"/>
  <c r="D504" i="13"/>
  <c r="D503" i="13" s="1"/>
  <c r="G1101" i="12"/>
  <c r="G1230" i="12"/>
  <c r="G710" i="12"/>
  <c r="D538" i="13"/>
  <c r="D537" i="13" s="1"/>
  <c r="G718" i="12"/>
  <c r="D564" i="13"/>
  <c r="D563" i="13" s="1"/>
  <c r="G726" i="12"/>
  <c r="D584" i="13"/>
  <c r="D583" i="13" s="1"/>
  <c r="G735" i="12"/>
  <c r="D490" i="13"/>
  <c r="D489" i="13" s="1"/>
  <c r="G743" i="12"/>
  <c r="D508" i="13"/>
  <c r="D507" i="13" s="1"/>
  <c r="G866" i="12"/>
  <c r="D566" i="13"/>
  <c r="D565" i="13" s="1"/>
  <c r="G875" i="12"/>
  <c r="D534" i="13"/>
  <c r="D533" i="13" s="1"/>
  <c r="G883" i="12"/>
  <c r="D588" i="13"/>
  <c r="D587" i="13" s="1"/>
  <c r="G894" i="12"/>
  <c r="D510" i="13"/>
  <c r="D509" i="13" s="1"/>
  <c r="G704" i="12"/>
  <c r="D526" i="13"/>
  <c r="D525" i="13" s="1"/>
  <c r="G712" i="12"/>
  <c r="D544" i="13"/>
  <c r="D543" i="13" s="1"/>
  <c r="G728" i="12"/>
  <c r="D586" i="13"/>
  <c r="D585" i="13" s="1"/>
  <c r="G737" i="12"/>
  <c r="D498" i="13"/>
  <c r="D497" i="13" s="1"/>
  <c r="G869" i="12"/>
  <c r="D542" i="13"/>
  <c r="D541" i="13" s="1"/>
  <c r="G877" i="12"/>
  <c r="D562" i="13"/>
  <c r="D561" i="13" s="1"/>
  <c r="G888" i="12"/>
  <c r="D486" i="13"/>
  <c r="D485" i="13" s="1"/>
  <c r="G722" i="12"/>
  <c r="D576" i="13"/>
  <c r="D575" i="13" s="1"/>
  <c r="G739" i="12"/>
  <c r="D500" i="13"/>
  <c r="D499" i="13" s="1"/>
  <c r="G871" i="12"/>
  <c r="D548" i="13"/>
  <c r="D547" i="13" s="1"/>
  <c r="G879" i="12"/>
  <c r="D574" i="13"/>
  <c r="D573" i="13" s="1"/>
  <c r="G890" i="12"/>
  <c r="D496" i="13"/>
  <c r="D495" i="13" s="1"/>
  <c r="G1112" i="12"/>
  <c r="G1108" i="12" s="1"/>
  <c r="G918" i="12" l="1"/>
  <c r="G917" i="12" s="1"/>
  <c r="G916" i="12" s="1"/>
  <c r="F34" i="14" s="1"/>
  <c r="G920" i="12"/>
  <c r="G919" i="12" s="1"/>
  <c r="D523" i="13"/>
  <c r="D519" i="13" s="1"/>
  <c r="D520" i="13"/>
  <c r="G885" i="12"/>
  <c r="G732" i="12"/>
  <c r="G868" i="12"/>
  <c r="G703" i="12"/>
  <c r="D482" i="13"/>
  <c r="D479" i="13" s="1"/>
  <c r="G1098" i="12"/>
  <c r="G1097" i="12" s="1"/>
  <c r="G1096" i="12" s="1"/>
  <c r="G1220" i="12"/>
  <c r="G1219" i="12" s="1"/>
  <c r="G859" i="12" l="1"/>
  <c r="G702" i="12"/>
  <c r="D413" i="13"/>
  <c r="G635" i="12"/>
  <c r="G634" i="12" s="1"/>
  <c r="G633" i="12" s="1"/>
  <c r="G626" i="12" s="1"/>
  <c r="F27" i="14" s="1"/>
  <c r="G608" i="12" l="1"/>
  <c r="D301" i="13"/>
  <c r="G983" i="12"/>
  <c r="G979" i="12"/>
  <c r="G988" i="12" l="1"/>
  <c r="G987" i="12" s="1"/>
  <c r="D251" i="13"/>
  <c r="D250" i="13" s="1"/>
  <c r="G991" i="12"/>
  <c r="G990" i="12" s="1"/>
  <c r="D273" i="13"/>
  <c r="D272" i="13" s="1"/>
  <c r="G981" i="12"/>
  <c r="G974" i="12" s="1"/>
  <c r="D41" i="13"/>
  <c r="D40" i="13" s="1"/>
  <c r="D371" i="13"/>
  <c r="D372" i="13"/>
  <c r="D381" i="13"/>
  <c r="D382" i="13"/>
  <c r="D383" i="13"/>
  <c r="D732" i="13"/>
  <c r="G986" i="12" l="1"/>
  <c r="G985" i="12" s="1"/>
  <c r="D375" i="13"/>
  <c r="G586" i="12"/>
  <c r="G583" i="12"/>
  <c r="G590" i="12" l="1"/>
  <c r="G589" i="12"/>
  <c r="G423" i="12"/>
  <c r="G422" i="12" s="1"/>
  <c r="G420" i="12"/>
  <c r="G419" i="12" s="1"/>
  <c r="D276" i="13"/>
  <c r="D275" i="13"/>
  <c r="D46" i="13"/>
  <c r="D44" i="13" s="1"/>
  <c r="D274" i="13" l="1"/>
  <c r="G425" i="12"/>
  <c r="G418" i="12" s="1"/>
  <c r="G417" i="12" s="1"/>
  <c r="D580" i="13"/>
  <c r="D579" i="13" s="1"/>
  <c r="D557" i="13" s="1"/>
  <c r="D325" i="13" l="1"/>
  <c r="D323" i="13"/>
  <c r="D175" i="13"/>
  <c r="D173" i="13" s="1"/>
  <c r="G223" i="12"/>
  <c r="G226" i="12" l="1"/>
  <c r="D170" i="13"/>
  <c r="G290" i="12"/>
  <c r="G192" i="12"/>
  <c r="G191" i="12" s="1"/>
  <c r="G186" i="12"/>
  <c r="G185" i="12" s="1"/>
  <c r="G163" i="12"/>
  <c r="D125" i="13"/>
  <c r="D124" i="13"/>
  <c r="D108" i="13"/>
  <c r="D106" i="13"/>
  <c r="G80" i="12"/>
  <c r="D30" i="13"/>
  <c r="D29" i="13"/>
  <c r="D76" i="13"/>
  <c r="D672" i="13"/>
  <c r="D670" i="13" s="1"/>
  <c r="D107" i="13" l="1"/>
  <c r="G110" i="12"/>
  <c r="D34" i="13"/>
  <c r="G127" i="12"/>
  <c r="D127" i="13"/>
  <c r="G124" i="12"/>
  <c r="G184" i="12"/>
  <c r="G183" i="12" s="1"/>
  <c r="G69" i="12" l="1"/>
  <c r="D462" i="13" l="1"/>
  <c r="D20" i="13" l="1"/>
  <c r="G41" i="12"/>
  <c r="G1047" i="12"/>
  <c r="G1046" i="12" s="1"/>
  <c r="G1045" i="12" s="1"/>
  <c r="F51" i="14"/>
  <c r="D760" i="13"/>
  <c r="D759" i="13" s="1"/>
  <c r="D758" i="13"/>
  <c r="D757" i="13" s="1"/>
  <c r="D756" i="13" s="1"/>
  <c r="D754" i="13"/>
  <c r="D752" i="13"/>
  <c r="D751" i="13"/>
  <c r="D750" i="13" s="1"/>
  <c r="D746" i="13"/>
  <c r="D735" i="13"/>
  <c r="D734" i="13"/>
  <c r="D725" i="13"/>
  <c r="D723" i="13"/>
  <c r="D721" i="13"/>
  <c r="D719" i="13"/>
  <c r="D718" i="13" s="1"/>
  <c r="D716" i="13"/>
  <c r="D714" i="13"/>
  <c r="D713" i="13" s="1"/>
  <c r="D711" i="13"/>
  <c r="D707" i="13"/>
  <c r="D703" i="13"/>
  <c r="D701" i="13"/>
  <c r="D689" i="13"/>
  <c r="D687" i="13"/>
  <c r="D686" i="13" s="1"/>
  <c r="D684" i="13"/>
  <c r="D683" i="13"/>
  <c r="D674" i="13"/>
  <c r="D668" i="13"/>
  <c r="D660" i="13"/>
  <c r="D659" i="13" s="1"/>
  <c r="D657" i="13"/>
  <c r="D642" i="13"/>
  <c r="D641" i="13" s="1"/>
  <c r="D640" i="13" s="1"/>
  <c r="D639" i="13" s="1"/>
  <c r="D638" i="13"/>
  <c r="D637" i="13"/>
  <c r="D632" i="13"/>
  <c r="D631" i="13" s="1"/>
  <c r="D630" i="13" s="1"/>
  <c r="D618" i="13"/>
  <c r="D617" i="13" s="1"/>
  <c r="D616" i="13" s="1"/>
  <c r="D478" i="13"/>
  <c r="D471" i="13"/>
  <c r="D470" i="13" s="1"/>
  <c r="D464" i="13"/>
  <c r="D463" i="13"/>
  <c r="D459" i="13"/>
  <c r="D455" i="13"/>
  <c r="D453" i="13"/>
  <c r="D452" i="13"/>
  <c r="D451" i="13" s="1"/>
  <c r="D449" i="13"/>
  <c r="D444" i="13"/>
  <c r="D443" i="13" s="1"/>
  <c r="D442" i="13" s="1"/>
  <c r="D440" i="13"/>
  <c r="D439" i="13" s="1"/>
  <c r="D436" i="13"/>
  <c r="D435" i="13" s="1"/>
  <c r="D421" i="13"/>
  <c r="D419" i="13"/>
  <c r="D418" i="13" s="1"/>
  <c r="D415" i="13"/>
  <c r="D414" i="13" s="1"/>
  <c r="D412" i="13"/>
  <c r="D396" i="13"/>
  <c r="D395" i="13" s="1"/>
  <c r="D394" i="13" s="1"/>
  <c r="D392" i="13"/>
  <c r="D391" i="13" s="1"/>
  <c r="D390" i="13" s="1"/>
  <c r="D388" i="13"/>
  <c r="D387" i="13" s="1"/>
  <c r="D374" i="13"/>
  <c r="D373" i="13" s="1"/>
  <c r="D360" i="13"/>
  <c r="D359" i="13" s="1"/>
  <c r="D358" i="13" s="1"/>
  <c r="D354" i="13"/>
  <c r="D353" i="13" s="1"/>
  <c r="D352" i="13" s="1"/>
  <c r="D348" i="13"/>
  <c r="D347" i="13" s="1"/>
  <c r="D345" i="13"/>
  <c r="D343" i="13"/>
  <c r="D320" i="13"/>
  <c r="D315" i="13"/>
  <c r="D303" i="13"/>
  <c r="D293" i="13"/>
  <c r="D292" i="13" s="1"/>
  <c r="D291" i="13" s="1"/>
  <c r="D290" i="13" s="1"/>
  <c r="D288" i="13"/>
  <c r="D283" i="13"/>
  <c r="D281" i="13"/>
  <c r="D271" i="13"/>
  <c r="D270" i="13" s="1"/>
  <c r="D269" i="13"/>
  <c r="D268" i="13" s="1"/>
  <c r="D267" i="13"/>
  <c r="D266" i="13"/>
  <c r="D264" i="13"/>
  <c r="D263" i="13"/>
  <c r="D259" i="13"/>
  <c r="D258" i="13" s="1"/>
  <c r="D255" i="13"/>
  <c r="D247" i="13"/>
  <c r="D246" i="13" s="1"/>
  <c r="D245" i="13"/>
  <c r="D244" i="13" s="1"/>
  <c r="D242" i="13"/>
  <c r="D235" i="13"/>
  <c r="D233" i="13"/>
  <c r="D231" i="13"/>
  <c r="D228" i="13"/>
  <c r="D227" i="13" s="1"/>
  <c r="D225" i="13"/>
  <c r="D223" i="13"/>
  <c r="D222" i="13" s="1"/>
  <c r="D220" i="13"/>
  <c r="D212" i="13"/>
  <c r="D210" i="13"/>
  <c r="D208" i="13"/>
  <c r="D198" i="13"/>
  <c r="D197" i="13" s="1"/>
  <c r="D195" i="13"/>
  <c r="D194" i="13" s="1"/>
  <c r="D192" i="13"/>
  <c r="D191" i="13" s="1"/>
  <c r="D190" i="13" s="1"/>
  <c r="D188" i="13"/>
  <c r="D187" i="13" s="1"/>
  <c r="D186" i="13"/>
  <c r="D185" i="13" s="1"/>
  <c r="D183" i="13"/>
  <c r="D182" i="13" s="1"/>
  <c r="D172" i="13" s="1"/>
  <c r="D180" i="13"/>
  <c r="D161" i="13"/>
  <c r="D160" i="13" s="1"/>
  <c r="D159" i="13"/>
  <c r="D158" i="13" s="1"/>
  <c r="D157" i="13"/>
  <c r="D156" i="13" s="1"/>
  <c r="D145" i="13"/>
  <c r="D115" i="13"/>
  <c r="D114" i="13"/>
  <c r="D102" i="13"/>
  <c r="D101" i="13" s="1"/>
  <c r="D97" i="13"/>
  <c r="D78" i="13"/>
  <c r="D77" i="13" s="1"/>
  <c r="D75" i="13"/>
  <c r="D74" i="13" s="1"/>
  <c r="D73" i="13"/>
  <c r="D69" i="13"/>
  <c r="D66" i="13"/>
  <c r="D61" i="13"/>
  <c r="D60" i="13" s="1"/>
  <c r="D49" i="13"/>
  <c r="D36" i="13"/>
  <c r="D25" i="13"/>
  <c r="G1217" i="12"/>
  <c r="G1216" i="12" s="1"/>
  <c r="G1215" i="12" s="1"/>
  <c r="G1213" i="12"/>
  <c r="G1211" i="12"/>
  <c r="G1206" i="12"/>
  <c r="G1205" i="12" s="1"/>
  <c r="G1204" i="12" s="1"/>
  <c r="G1203" i="12" s="1"/>
  <c r="G1199" i="12"/>
  <c r="G1198" i="12" s="1"/>
  <c r="G1197" i="12" s="1"/>
  <c r="G1188" i="12"/>
  <c r="G1187" i="12" s="1"/>
  <c r="G1186" i="12" s="1"/>
  <c r="G1185" i="12" s="1"/>
  <c r="G1184" i="12" s="1"/>
  <c r="F58" i="14" s="1"/>
  <c r="G1182" i="12"/>
  <c r="G1181" i="12" s="1"/>
  <c r="G1180" i="12" s="1"/>
  <c r="G1178" i="12"/>
  <c r="G1176" i="12"/>
  <c r="G1175" i="12" s="1"/>
  <c r="G1165" i="12"/>
  <c r="G1164" i="12" s="1"/>
  <c r="G1160" i="12"/>
  <c r="G1159" i="12" s="1"/>
  <c r="G1158" i="12" s="1"/>
  <c r="G1155" i="12"/>
  <c r="G1154" i="12" s="1"/>
  <c r="G1153" i="12" s="1"/>
  <c r="G1152" i="12" s="1"/>
  <c r="G1150" i="12"/>
  <c r="G1149" i="12" s="1"/>
  <c r="G1148" i="12" s="1"/>
  <c r="G1144" i="12"/>
  <c r="G1143" i="12" s="1"/>
  <c r="G1141" i="12"/>
  <c r="G1140" i="12" s="1"/>
  <c r="G1135" i="12"/>
  <c r="G1134" i="12" s="1"/>
  <c r="G1133" i="12" s="1"/>
  <c r="G1131" i="12"/>
  <c r="G1130" i="12"/>
  <c r="G1129" i="12" s="1"/>
  <c r="G1128" i="12"/>
  <c r="G1127" i="12" s="1"/>
  <c r="G1126" i="12" s="1"/>
  <c r="G1124" i="12"/>
  <c r="G1123" i="12" s="1"/>
  <c r="G1122" i="12" s="1"/>
  <c r="G1121" i="12" s="1"/>
  <c r="G1117" i="12"/>
  <c r="G1116" i="12"/>
  <c r="G1094" i="12"/>
  <c r="G1088" i="12" s="1"/>
  <c r="G1087" i="12" s="1"/>
  <c r="G1092" i="12"/>
  <c r="G1091" i="12" s="1"/>
  <c r="G1090" i="12" s="1"/>
  <c r="G1085" i="12"/>
  <c r="G1082" i="12"/>
  <c r="G1078" i="12" s="1"/>
  <c r="G1077" i="12" s="1"/>
  <c r="G1076" i="12" s="1"/>
  <c r="G1075" i="12" s="1"/>
  <c r="G1073" i="12"/>
  <c r="G1072" i="12"/>
  <c r="G1071" i="12" s="1"/>
  <c r="G1070" i="12" s="1"/>
  <c r="G1065" i="12"/>
  <c r="G1066" i="12"/>
  <c r="G1063" i="12"/>
  <c r="G1061" i="12"/>
  <c r="G1059" i="12"/>
  <c r="G1058" i="12"/>
  <c r="G1053" i="12"/>
  <c r="G1042" i="12"/>
  <c r="G1041" i="12"/>
  <c r="G1039" i="12"/>
  <c r="G1035" i="12"/>
  <c r="G1033" i="12"/>
  <c r="G1024" i="12"/>
  <c r="G1018" i="12"/>
  <c r="G1016" i="12"/>
  <c r="G1015" i="12" s="1"/>
  <c r="G1013" i="12"/>
  <c r="G1012" i="12" s="1"/>
  <c r="G1007" i="12"/>
  <c r="G1006" i="12" s="1"/>
  <c r="G1002" i="12"/>
  <c r="G1001" i="12" s="1"/>
  <c r="G1000" i="12" s="1"/>
  <c r="G998" i="12"/>
  <c r="G997" i="12" s="1"/>
  <c r="G996" i="12" s="1"/>
  <c r="G995" i="12" s="1"/>
  <c r="G994" i="12" s="1"/>
  <c r="G977" i="12"/>
  <c r="G975" i="12"/>
  <c r="G973" i="12" s="1"/>
  <c r="G972" i="12" s="1"/>
  <c r="G971" i="12" s="1"/>
  <c r="G969" i="12"/>
  <c r="G964" i="12"/>
  <c r="G963" i="12"/>
  <c r="G962" i="12" s="1"/>
  <c r="G960" i="12"/>
  <c r="G958" i="12"/>
  <c r="G952" i="12"/>
  <c r="G951" i="12" s="1"/>
  <c r="G950" i="12" s="1"/>
  <c r="G948" i="12"/>
  <c r="G947" i="12" s="1"/>
  <c r="G935" i="12"/>
  <c r="G928" i="12"/>
  <c r="G927" i="12" s="1"/>
  <c r="G926" i="12" s="1"/>
  <c r="G925" i="12" s="1"/>
  <c r="G924" i="12" s="1"/>
  <c r="F36" i="14" s="1"/>
  <c r="G902" i="12"/>
  <c r="G901" i="12" s="1"/>
  <c r="G899" i="12"/>
  <c r="G861" i="12"/>
  <c r="G860" i="12" s="1"/>
  <c r="G849" i="12" s="1"/>
  <c r="G840" i="12"/>
  <c r="G839" i="12" s="1"/>
  <c r="G838" i="12" s="1"/>
  <c r="G837" i="12" s="1"/>
  <c r="G836" i="12" s="1"/>
  <c r="G834" i="12"/>
  <c r="G832" i="12"/>
  <c r="G831" i="12" s="1"/>
  <c r="G816" i="12"/>
  <c r="G814" i="12"/>
  <c r="G813" i="12" s="1"/>
  <c r="G812" i="12" s="1"/>
  <c r="G811" i="12" s="1"/>
  <c r="G810" i="12" s="1"/>
  <c r="G799" i="12"/>
  <c r="G797" i="12"/>
  <c r="G792" i="12"/>
  <c r="G791" i="12" s="1"/>
  <c r="G790" i="12" s="1"/>
  <c r="G789" i="12" s="1"/>
  <c r="G781" i="12"/>
  <c r="G779" i="12"/>
  <c r="G778" i="12" s="1"/>
  <c r="G776" i="12"/>
  <c r="G774" i="12"/>
  <c r="G773" i="12" s="1"/>
  <c r="G772" i="12" s="1"/>
  <c r="G770" i="12"/>
  <c r="G766" i="12"/>
  <c r="G765" i="12" s="1"/>
  <c r="G761" i="12"/>
  <c r="G760" i="12" s="1"/>
  <c r="G759" i="12" s="1"/>
  <c r="G756" i="12"/>
  <c r="G755" i="12" s="1"/>
  <c r="G754" i="12" s="1"/>
  <c r="G698" i="12"/>
  <c r="G697" i="12" s="1"/>
  <c r="G696" i="12" s="1"/>
  <c r="G694" i="12"/>
  <c r="G693" i="12" s="1"/>
  <c r="G690" i="12"/>
  <c r="G688" i="12"/>
  <c r="G684" i="12"/>
  <c r="G682" i="12"/>
  <c r="G681" i="12" s="1"/>
  <c r="G679" i="12"/>
  <c r="G678" i="12" s="1"/>
  <c r="G675" i="12"/>
  <c r="G674" i="12" s="1"/>
  <c r="G672" i="12"/>
  <c r="G671" i="12" s="1"/>
  <c r="G668" i="12"/>
  <c r="G667" i="12" s="1"/>
  <c r="G653" i="12"/>
  <c r="G651" i="12"/>
  <c r="G650" i="12" s="1"/>
  <c r="G646" i="12"/>
  <c r="G640" i="12"/>
  <c r="G639" i="12" s="1"/>
  <c r="G638" i="12" s="1"/>
  <c r="G637" i="12" s="1"/>
  <c r="G631" i="12"/>
  <c r="G629" i="12"/>
  <c r="G624" i="12"/>
  <c r="G623" i="12" s="1"/>
  <c r="G621" i="12"/>
  <c r="G620" i="12" s="1"/>
  <c r="G607" i="12"/>
  <c r="G606" i="12" s="1"/>
  <c r="G605" i="12" s="1"/>
  <c r="G580" i="12"/>
  <c r="G576" i="12"/>
  <c r="G571" i="12"/>
  <c r="G569" i="12"/>
  <c r="G566" i="12"/>
  <c r="G556" i="12"/>
  <c r="G555" i="12" s="1"/>
  <c r="G554" i="12" s="1"/>
  <c r="G551" i="12"/>
  <c r="G548" i="12"/>
  <c r="G547" i="12" s="1"/>
  <c r="G543" i="12"/>
  <c r="G541" i="12"/>
  <c r="G540" i="12" s="1"/>
  <c r="G538" i="12"/>
  <c r="G537" i="12" s="1"/>
  <c r="G534" i="12"/>
  <c r="G529" i="12" s="1"/>
  <c r="G525" i="12"/>
  <c r="G524" i="12" s="1"/>
  <c r="G513" i="12"/>
  <c r="G512" i="12" s="1"/>
  <c r="G511" i="12" s="1"/>
  <c r="G510" i="12" s="1"/>
  <c r="G503" i="12"/>
  <c r="G502" i="12" s="1"/>
  <c r="G500" i="12"/>
  <c r="G499" i="12"/>
  <c r="G496" i="12"/>
  <c r="G495" i="12" s="1"/>
  <c r="G493" i="12"/>
  <c r="G487" i="12" s="1"/>
  <c r="G491" i="12"/>
  <c r="G480" i="12"/>
  <c r="G479" i="12" s="1"/>
  <c r="G478" i="12" s="1"/>
  <c r="G477" i="12" s="1"/>
  <c r="F19" i="14" s="1"/>
  <c r="G475" i="12"/>
  <c r="G474" i="12" s="1"/>
  <c r="G473" i="12" s="1"/>
  <c r="G472" i="12" s="1"/>
  <c r="F16" i="14" s="1"/>
  <c r="G455" i="12"/>
  <c r="G454" i="12" s="1"/>
  <c r="G453" i="12" s="1"/>
  <c r="G450" i="12"/>
  <c r="G447" i="12"/>
  <c r="G441" i="12"/>
  <c r="G439" i="12" s="1"/>
  <c r="G438" i="12" s="1"/>
  <c r="G437" i="12" s="1"/>
  <c r="G436" i="12" s="1"/>
  <c r="G432" i="12"/>
  <c r="G431" i="12" s="1"/>
  <c r="G430" i="12" s="1"/>
  <c r="G429" i="12" s="1"/>
  <c r="G428" i="12" s="1"/>
  <c r="G427" i="12" s="1"/>
  <c r="G415" i="12"/>
  <c r="G412" i="12"/>
  <c r="G409" i="12"/>
  <c r="G407" i="12"/>
  <c r="G403" i="12"/>
  <c r="G401" i="12"/>
  <c r="G398" i="12"/>
  <c r="G396" i="12"/>
  <c r="G392" i="12" s="1"/>
  <c r="G384" i="12"/>
  <c r="G383" i="12" s="1"/>
  <c r="G382" i="12" s="1"/>
  <c r="G381" i="12" s="1"/>
  <c r="G377" i="12"/>
  <c r="G376" i="12" s="1"/>
  <c r="G375" i="12" s="1"/>
  <c r="G374" i="12" s="1"/>
  <c r="G373" i="12" s="1"/>
  <c r="G371" i="12"/>
  <c r="G369" i="12"/>
  <c r="G368" i="12" s="1"/>
  <c r="G353" i="12"/>
  <c r="G352" i="12" s="1"/>
  <c r="G351" i="12" s="1"/>
  <c r="G350" i="12" s="1"/>
  <c r="F20" i="14" s="1"/>
  <c r="G344" i="12"/>
  <c r="G341" i="12"/>
  <c r="G334" i="12"/>
  <c r="G333" i="12" s="1"/>
  <c r="G332" i="12" s="1"/>
  <c r="G331" i="12" s="1"/>
  <c r="G330" i="12" s="1"/>
  <c r="G329" i="12" s="1"/>
  <c r="G326" i="12"/>
  <c r="G325" i="12" s="1"/>
  <c r="G324" i="12" s="1"/>
  <c r="G317" i="12"/>
  <c r="G315" i="12" s="1"/>
  <c r="G312" i="12"/>
  <c r="G311" i="12" s="1"/>
  <c r="G310" i="12" s="1"/>
  <c r="G308" i="12"/>
  <c r="G306" i="12"/>
  <c r="G303" i="12"/>
  <c r="G302" i="12" s="1"/>
  <c r="G300" i="12"/>
  <c r="G298" i="12"/>
  <c r="G289" i="12"/>
  <c r="G288" i="12" s="1"/>
  <c r="G287" i="12" s="1"/>
  <c r="G284" i="12"/>
  <c r="G282" i="12"/>
  <c r="G274" i="12"/>
  <c r="G273" i="12" s="1"/>
  <c r="G272" i="12" s="1"/>
  <c r="G269" i="12"/>
  <c r="G268" i="12" s="1"/>
  <c r="G266" i="12"/>
  <c r="G263" i="12"/>
  <c r="G257" i="12"/>
  <c r="G253" i="12"/>
  <c r="G243" i="12"/>
  <c r="G241" i="12"/>
  <c r="G240" i="12" s="1"/>
  <c r="G237" i="12"/>
  <c r="G236" i="12" s="1"/>
  <c r="G234" i="12"/>
  <c r="G230" i="12" s="1"/>
  <c r="G222" i="12"/>
  <c r="G217" i="12"/>
  <c r="G215" i="12"/>
  <c r="G214" i="12"/>
  <c r="G213" i="12" s="1"/>
  <c r="G206" i="12"/>
  <c r="G205" i="12" s="1"/>
  <c r="G204" i="12" s="1"/>
  <c r="G181" i="12"/>
  <c r="G180" i="12" s="1"/>
  <c r="G179" i="12" s="1"/>
  <c r="G178" i="12" s="1"/>
  <c r="G176" i="12"/>
  <c r="G173" i="12"/>
  <c r="G157" i="12"/>
  <c r="G156" i="12" s="1"/>
  <c r="G116" i="12"/>
  <c r="G107" i="12"/>
  <c r="G105" i="12"/>
  <c r="G104" i="12" s="1"/>
  <c r="G103" i="12" s="1"/>
  <c r="G102" i="12" s="1"/>
  <c r="G99" i="12"/>
  <c r="G97" i="12"/>
  <c r="G89" i="12"/>
  <c r="G61" i="12"/>
  <c r="G60" i="12" s="1"/>
  <c r="G55" i="12"/>
  <c r="G51" i="12"/>
  <c r="G45" i="12"/>
  <c r="G30" i="12"/>
  <c r="G25" i="12"/>
  <c r="G24" i="12" s="1"/>
  <c r="G23" i="12" s="1"/>
  <c r="G22" i="12" s="1"/>
  <c r="G15" i="12"/>
  <c r="G14" i="12" s="1"/>
  <c r="G13" i="12" s="1"/>
  <c r="G12" i="12" s="1"/>
  <c r="D280" i="13" l="1"/>
  <c r="G604" i="12"/>
  <c r="F24" i="14" s="1"/>
  <c r="D461" i="13"/>
  <c r="G764" i="12"/>
  <c r="G763" i="12" s="1"/>
  <c r="D665" i="13"/>
  <c r="G391" i="12"/>
  <c r="G498" i="12"/>
  <c r="G1022" i="12"/>
  <c r="G1021" i="12" s="1"/>
  <c r="D386" i="13"/>
  <c r="G210" i="12"/>
  <c r="G209" i="12" s="1"/>
  <c r="G1157" i="12"/>
  <c r="G1156" i="12" s="1"/>
  <c r="G930" i="12"/>
  <c r="F37" i="14" s="1"/>
  <c r="F35" i="14" s="1"/>
  <c r="G934" i="12"/>
  <c r="G933" i="12" s="1"/>
  <c r="G932" i="12" s="1"/>
  <c r="G931" i="12" s="1"/>
  <c r="G172" i="12"/>
  <c r="G155" i="12" s="1"/>
  <c r="G154" i="12" s="1"/>
  <c r="G153" i="12" s="1"/>
  <c r="F41" i="14" s="1"/>
  <c r="G365" i="12"/>
  <c r="F32" i="14"/>
  <c r="G50" i="12"/>
  <c r="G1009" i="12"/>
  <c r="G1005" i="12" s="1"/>
  <c r="D663" i="13"/>
  <c r="D662" i="13" s="1"/>
  <c r="D656" i="13" s="1"/>
  <c r="G1115" i="12"/>
  <c r="F55" i="14"/>
  <c r="G11" i="12"/>
  <c r="G10" i="12" s="1"/>
  <c r="G380" i="12"/>
  <c r="F62" i="14"/>
  <c r="G912" i="12"/>
  <c r="D636" i="13"/>
  <c r="D635" i="13" s="1"/>
  <c r="D634" i="13" s="1"/>
  <c r="D262" i="13"/>
  <c r="D342" i="13"/>
  <c r="D265" i="13"/>
  <c r="D105" i="13"/>
  <c r="D749" i="13"/>
  <c r="D748" i="13" s="1"/>
  <c r="D738" i="13"/>
  <c r="D737" i="13" s="1"/>
  <c r="D736" i="13" s="1"/>
  <c r="D299" i="13"/>
  <c r="D298" i="13" s="1"/>
  <c r="D322" i="13"/>
  <c r="D681" i="13"/>
  <c r="D680" i="13" s="1"/>
  <c r="D699" i="13"/>
  <c r="D314" i="13"/>
  <c r="D730" i="13"/>
  <c r="D729" i="13" s="1"/>
  <c r="D27" i="13"/>
  <c r="D148" i="13"/>
  <c r="D147" i="13" s="1"/>
  <c r="D239" i="13"/>
  <c r="D238" i="13" s="1"/>
  <c r="D237" i="13" s="1"/>
  <c r="D733" i="13"/>
  <c r="G400" i="12"/>
  <c r="D63" i="13"/>
  <c r="D286" i="13"/>
  <c r="D285" i="13" s="1"/>
  <c r="D141" i="13"/>
  <c r="D230" i="13"/>
  <c r="D229" i="13" s="1"/>
  <c r="D370" i="13"/>
  <c r="D369" i="13" s="1"/>
  <c r="D368" i="13" s="1"/>
  <c r="D620" i="13"/>
  <c r="D619" i="13" s="1"/>
  <c r="D776" i="13"/>
  <c r="D775" i="13" s="1"/>
  <c r="D126" i="13"/>
  <c r="D153" i="13"/>
  <c r="D152" i="13" s="1"/>
  <c r="D165" i="13"/>
  <c r="D164" i="13" s="1"/>
  <c r="D189" i="13"/>
  <c r="D629" i="13"/>
  <c r="D18" i="13"/>
  <c r="D123" i="13"/>
  <c r="D184" i="13"/>
  <c r="D171" i="13" s="1"/>
  <c r="D306" i="13"/>
  <c r="D302" i="13" s="1"/>
  <c r="D327" i="13"/>
  <c r="D326" i="13" s="1"/>
  <c r="D339" i="13"/>
  <c r="D380" i="13"/>
  <c r="D379" i="13" s="1"/>
  <c r="D378" i="13" s="1"/>
  <c r="D695" i="13"/>
  <c r="D207" i="13"/>
  <c r="D206" i="13" s="1"/>
  <c r="D224" i="13"/>
  <c r="D438" i="13"/>
  <c r="D410" i="13" s="1"/>
  <c r="D32" i="13"/>
  <c r="D71" i="13"/>
  <c r="D110" i="13"/>
  <c r="D168" i="13"/>
  <c r="D216" i="13"/>
  <c r="D215" i="13" s="1"/>
  <c r="D336" i="13"/>
  <c r="G753" i="12"/>
  <c r="G546" i="12"/>
  <c r="G545" i="12" s="1"/>
  <c r="G1052" i="12"/>
  <c r="G229" i="12"/>
  <c r="G281" i="12"/>
  <c r="G280" i="12" s="1"/>
  <c r="G279" i="12" s="1"/>
  <c r="G278" i="12" s="1"/>
  <c r="G40" i="12"/>
  <c r="G29" i="12"/>
  <c r="G28" i="12" s="1"/>
  <c r="G21" i="12" s="1"/>
  <c r="G109" i="12"/>
  <c r="G68" i="12" s="1"/>
  <c r="G405" i="12"/>
  <c r="G575" i="12"/>
  <c r="G574" i="12" s="1"/>
  <c r="G565" i="12"/>
  <c r="G564" i="12" s="1"/>
  <c r="G628" i="12"/>
  <c r="G627" i="12" s="1"/>
  <c r="G670" i="12"/>
  <c r="G644" i="12" s="1"/>
  <c r="G687" i="12"/>
  <c r="G686" i="12" s="1"/>
  <c r="G692" i="12"/>
  <c r="G1139" i="12"/>
  <c r="G1138" i="12" s="1"/>
  <c r="G435" i="12"/>
  <c r="G957" i="12"/>
  <c r="G956" i="12" s="1"/>
  <c r="G955" i="12" s="1"/>
  <c r="G954" i="12" s="1"/>
  <c r="G946" i="12" s="1"/>
  <c r="G945" i="12" s="1"/>
  <c r="G677" i="12"/>
  <c r="G1044" i="12"/>
  <c r="G262" i="12"/>
  <c r="G261" i="12" s="1"/>
  <c r="G1120" i="12"/>
  <c r="F56" i="14" s="1"/>
  <c r="G1196" i="12"/>
  <c r="F60" i="14" s="1"/>
  <c r="G94" i="12"/>
  <c r="G1147" i="12"/>
  <c r="G1210" i="12"/>
  <c r="G1011" i="12"/>
  <c r="G796" i="12"/>
  <c r="G795" i="12" s="1"/>
  <c r="G794" i="12" s="1"/>
  <c r="G239" i="12"/>
  <c r="G252" i="12"/>
  <c r="G251" i="12" s="1"/>
  <c r="G340" i="12"/>
  <c r="G339" i="12" s="1"/>
  <c r="G338" i="12" s="1"/>
  <c r="G337" i="12" s="1"/>
  <c r="G336" i="12" s="1"/>
  <c r="G446" i="12"/>
  <c r="G445" i="12" s="1"/>
  <c r="G460" i="12"/>
  <c r="G459" i="12" s="1"/>
  <c r="G458" i="12" s="1"/>
  <c r="G528" i="12"/>
  <c r="D253" i="13"/>
  <c r="D448" i="13"/>
  <c r="D447" i="13" s="1"/>
  <c r="G271" i="12"/>
  <c r="G314" i="12"/>
  <c r="G619" i="12"/>
  <c r="G618" i="12" s="1"/>
  <c r="G830" i="12"/>
  <c r="G829" i="12" s="1"/>
  <c r="G297" i="12"/>
  <c r="G305" i="12"/>
  <c r="G486" i="12"/>
  <c r="G485" i="12" s="1"/>
  <c r="G1174" i="12"/>
  <c r="G1173" i="12" s="1"/>
  <c r="F12" i="14" l="1"/>
  <c r="G1209" i="12"/>
  <c r="G1208" i="12" s="1"/>
  <c r="G563" i="12"/>
  <c r="D367" i="13"/>
  <c r="G67" i="12"/>
  <c r="D17" i="13"/>
  <c r="D664" i="13"/>
  <c r="D297" i="13"/>
  <c r="D335" i="13"/>
  <c r="D334" i="13" s="1"/>
  <c r="G788" i="12"/>
  <c r="F31" i="14" s="1"/>
  <c r="G361" i="12"/>
  <c r="G360" i="12" s="1"/>
  <c r="G359" i="12" s="1"/>
  <c r="G335" i="12" s="1"/>
  <c r="G39" i="12"/>
  <c r="G38" i="12" s="1"/>
  <c r="G37" i="12" s="1"/>
  <c r="F39" i="14" s="1"/>
  <c r="G923" i="12"/>
  <c r="D694" i="13"/>
  <c r="D693" i="13" s="1"/>
  <c r="G520" i="12"/>
  <c r="G484" i="12" s="1"/>
  <c r="G434" i="12" s="1"/>
  <c r="G848" i="12"/>
  <c r="G847" i="12" s="1"/>
  <c r="G846" i="12" s="1"/>
  <c r="D458" i="13"/>
  <c r="G277" i="12"/>
  <c r="F48" i="14"/>
  <c r="G1051" i="12"/>
  <c r="G1050" i="12" s="1"/>
  <c r="G1049" i="12" s="1"/>
  <c r="G643" i="12"/>
  <c r="G20" i="12"/>
  <c r="G911" i="12"/>
  <c r="G898" i="12" s="1"/>
  <c r="D625" i="13"/>
  <c r="D252" i="13"/>
  <c r="D249" i="13" s="1"/>
  <c r="D313" i="13"/>
  <c r="D728" i="13"/>
  <c r="D727" i="13" s="1"/>
  <c r="D62" i="13"/>
  <c r="D279" i="13"/>
  <c r="D140" i="13"/>
  <c r="D104" i="13"/>
  <c r="G390" i="12"/>
  <c r="D151" i="13"/>
  <c r="D214" i="13"/>
  <c r="G752" i="12"/>
  <c r="F29" i="14" s="1"/>
  <c r="G1020" i="12"/>
  <c r="G250" i="12"/>
  <c r="G203" i="12"/>
  <c r="G202" i="12" s="1"/>
  <c r="G444" i="12"/>
  <c r="G443" i="12" s="1"/>
  <c r="F14" i="14" s="1"/>
  <c r="G1004" i="12"/>
  <c r="G993" i="12" s="1"/>
  <c r="G1137" i="12"/>
  <c r="G1114" i="12" s="1"/>
  <c r="G617" i="12"/>
  <c r="F26" i="14" s="1"/>
  <c r="G296" i="12"/>
  <c r="G295" i="12" s="1"/>
  <c r="G294" i="12" s="1"/>
  <c r="D16" i="13" l="1"/>
  <c r="D15" i="13" s="1"/>
  <c r="D457" i="13"/>
  <c r="D409" i="13" s="1"/>
  <c r="F61" i="14"/>
  <c r="F59" i="14" s="1"/>
  <c r="G1195" i="12"/>
  <c r="F21" i="14"/>
  <c r="F11" i="14" s="1"/>
  <c r="G562" i="12"/>
  <c r="F23" i="14" s="1"/>
  <c r="F22" i="14" s="1"/>
  <c r="G389" i="12"/>
  <c r="G388" i="12" s="1"/>
  <c r="F43" i="14"/>
  <c r="G642" i="12"/>
  <c r="F28" i="14" s="1"/>
  <c r="F25" i="14" s="1"/>
  <c r="D655" i="13"/>
  <c r="G828" i="12"/>
  <c r="G66" i="12"/>
  <c r="F40" i="14" s="1"/>
  <c r="I10" i="14"/>
  <c r="D624" i="13"/>
  <c r="D615" i="13" s="1"/>
  <c r="G286" i="12"/>
  <c r="F57" i="14"/>
  <c r="F54" i="14" s="1"/>
  <c r="F44" i="14"/>
  <c r="D205" i="13"/>
  <c r="D296" i="13"/>
  <c r="G944" i="12"/>
  <c r="G249" i="12"/>
  <c r="D13" i="13" l="1"/>
  <c r="F33" i="14"/>
  <c r="F30" i="14" s="1"/>
  <c r="G561" i="12"/>
  <c r="G387" i="12"/>
  <c r="G386" i="12" s="1"/>
  <c r="F47" i="14"/>
  <c r="F46" i="14" s="1"/>
  <c r="G616" i="12"/>
  <c r="G36" i="12"/>
  <c r="G19" i="12" s="1"/>
  <c r="F45" i="14"/>
  <c r="F38" i="14" s="1"/>
  <c r="G787" i="12" l="1"/>
  <c r="F10" i="14"/>
  <c r="G433" i="12" l="1"/>
  <c r="G9" i="12" s="1"/>
</calcChain>
</file>

<file path=xl/comments1.xml><?xml version="1.0" encoding="utf-8"?>
<comments xmlns="http://schemas.openxmlformats.org/spreadsheetml/2006/main">
  <authors>
    <author>bao_no</author>
  </authors>
  <commentLis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55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56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57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142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ГМК</t>
        </r>
      </text>
    </comment>
  </commentList>
</comments>
</file>

<file path=xl/comments2.xml><?xml version="1.0" encoding="utf-8"?>
<comments xmlns="http://schemas.openxmlformats.org/spreadsheetml/2006/main">
  <authors>
    <author>bao_no</author>
  </authors>
  <commentList>
    <comment ref="E798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взносы за кап.ремонт?
</t>
        </r>
      </text>
    </comment>
  </commentList>
</comments>
</file>

<file path=xl/sharedStrings.xml><?xml version="1.0" encoding="utf-8"?>
<sst xmlns="http://schemas.openxmlformats.org/spreadsheetml/2006/main" count="8828" uniqueCount="899">
  <si>
    <t>Муниципальная программа «Социальная политика и профилактика правонарушений в муниципальном образовании «город Слободской»»</t>
  </si>
  <si>
    <t>Подпрограмма «Профилактика правонарушений в муниципальном образовании «город Слободской»»</t>
  </si>
  <si>
    <t>Подпрограмма «Социальная поддержка семей с детьми и социально-ориентированных некоммерческих организаций в муниципальном образовании «город Слободской»»</t>
  </si>
  <si>
    <t>Подпрограмма «Обеспечение государственных гарантий содержания и социальных прав детей-сирот и детей, оставшихся без попечения родителей»</t>
  </si>
  <si>
    <t>Подпрограмма «Содержание и организация                              Единой дежурно-диспетчерской службы муниципального образования «город Слободской»»</t>
  </si>
  <si>
    <t>Подпрограмма «Обеспечение безопасности людей на водных объектах, укрепление и развитие материально-технической базы МКУ «Спасательная станция города Слободского»</t>
  </si>
  <si>
    <t>Подпрограмма «Обеспечение экологической безопасности и качества окружающей среды на территории муниципального образования город «Слободской»</t>
  </si>
  <si>
    <t>Подпрограмма «Противодействие экстремизму и профилактика терроризма на территории муниципального образования «город Слободской»»</t>
  </si>
  <si>
    <t>Подпрограмма «Развитие дорожного хозяйства муниципального образования «город Слободской»»</t>
  </si>
  <si>
    <t>Подпрограмма «Коммунальная и жилищная инфраструктура муниципального образования «город Слободской»»</t>
  </si>
  <si>
    <t>Подпрограмма «Содержание и благоустройство города Слободского»</t>
  </si>
  <si>
    <t>Подпрограмма «Развитие общественной инфраструктуры в муниципальном образовании «город Слободской»»</t>
  </si>
  <si>
    <t>Муниципальная программа «Формирование современной городской среды города Слободского»</t>
  </si>
  <si>
    <t>Муниципальная программа «Экономическое развитие и поддержка предпринимательства в муниципальном образовании «город Слободской»»</t>
  </si>
  <si>
    <t>Подпрограмма «Экономическое развитие и формирование благоприятного инвестиционного климата города Слободского»</t>
  </si>
  <si>
    <t>Подпрограмма «Поддержка и развитие малого и среднего предпринимательства»</t>
  </si>
  <si>
    <t>Муниципальная программа «Муниципальное управление муниципального образования «город Слободской»»</t>
  </si>
  <si>
    <t>Подпрограмма «Противодействие коррупции в муниципальном образовании «город Слободской»»</t>
  </si>
  <si>
    <t>Подпрограмма «Развитие муниципальной службы в муниципальном образовании «город Слободской»»</t>
  </si>
  <si>
    <t xml:space="preserve">09Я00 00000 </t>
  </si>
  <si>
    <t>Муниципальная программа «Управление муниципальным имуществом муниципального образования «город Слободской»»</t>
  </si>
  <si>
    <t>10000 00000</t>
  </si>
  <si>
    <t>Подпрограмма «Повышение эффективности использования муниципального имущества и получение неналоговых доходов от его использования»</t>
  </si>
  <si>
    <t>10100 00000</t>
  </si>
  <si>
    <t>Подпрограмма «Управление земельными ресурсами»</t>
  </si>
  <si>
    <t>01000 0000</t>
  </si>
  <si>
    <t>04200 00000</t>
  </si>
  <si>
    <t>05400 00000</t>
  </si>
  <si>
    <t>06300 00000</t>
  </si>
  <si>
    <t>06400 00000</t>
  </si>
  <si>
    <t>08100 00000</t>
  </si>
  <si>
    <t>08200 00000</t>
  </si>
  <si>
    <t>09000 00000</t>
  </si>
  <si>
    <t>09100 00000</t>
  </si>
  <si>
    <t>09200 00000</t>
  </si>
  <si>
    <t>10Я00 00000</t>
  </si>
  <si>
    <t>09200 02000</t>
  </si>
  <si>
    <t>09200 02020</t>
  </si>
  <si>
    <t>Муниципальная программа «Развитие образования в муниципальном образовании «город Слободской»</t>
  </si>
  <si>
    <t>01100 03020</t>
  </si>
  <si>
    <t>01100 04380</t>
  </si>
  <si>
    <t>01100 17010</t>
  </si>
  <si>
    <t>01100 17180</t>
  </si>
  <si>
    <t>01100 03040</t>
  </si>
  <si>
    <t>01100 03140</t>
  </si>
  <si>
    <t>09Я00 00000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</si>
  <si>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города</t>
  </si>
  <si>
    <t>Наименование расхода</t>
  </si>
  <si>
    <t>Целевая статья</t>
  </si>
  <si>
    <t>ВСЕГО РАСХОДОВ</t>
  </si>
  <si>
    <t>00000 00000</t>
  </si>
  <si>
    <t>000</t>
  </si>
  <si>
    <t>01100 00000</t>
  </si>
  <si>
    <t>Финансовое обеспечение деятельности муниципальных учреждений</t>
  </si>
  <si>
    <t>01100 03000</t>
  </si>
  <si>
    <t>Дошкольные учреждения</t>
  </si>
  <si>
    <t>01100 03010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</si>
  <si>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</si>
  <si>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</si>
  <si>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нужд</t>
  </si>
  <si>
    <t>200</t>
  </si>
  <si>
    <t>Иные бюджетные ассигнования</t>
  </si>
  <si>
    <t>800</t>
  </si>
  <si>
    <t>Мероприятия в установленной сфере деятельности</t>
  </si>
  <si>
    <t>01100 04000</t>
  </si>
  <si>
    <t>Мероприятия за счет добровольных пожертвований</t>
  </si>
  <si>
    <t>01100 04390</t>
  </si>
  <si>
    <t>Мероприятия за счёт родительской платы</t>
  </si>
  <si>
    <t>01100 04400</t>
  </si>
  <si>
    <t>Иные межбюджетные трансферты из областного бюджета</t>
  </si>
  <si>
    <t>01100 17000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</si>
  <si>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</si>
  <si>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01100 17140</t>
  </si>
  <si>
    <t>01200 00000</t>
  </si>
  <si>
    <t>Общеобразовательные учреждения</t>
  </si>
  <si>
    <t>Учреждения дополнительного образования</t>
  </si>
  <si>
    <t>Мероприятия за счет оказания дополнительных услуг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</si>
  <si>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</si>
  <si>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01300 00000</t>
  </si>
  <si>
    <t>Прочие учреждения в области образования</t>
  </si>
  <si>
    <t>01400 00000</t>
  </si>
  <si>
    <t>01400 04000</t>
  </si>
  <si>
    <t>Создание безопасных условий в образовательных организациях</t>
  </si>
  <si>
    <t>Прочие муниципальные учреждения</t>
  </si>
  <si>
    <t>Отдельные мероприятия программы</t>
  </si>
  <si>
    <t>01Я00 00000</t>
  </si>
  <si>
    <t>02000 00000</t>
  </si>
  <si>
    <t>02100 00000</t>
  </si>
  <si>
    <t>02200 00000</t>
  </si>
  <si>
    <t>02300 00000</t>
  </si>
  <si>
    <t>02400 00000</t>
  </si>
  <si>
    <t>02Я00 00000</t>
  </si>
  <si>
    <t>03000 00000</t>
  </si>
  <si>
    <t>04000 00000</t>
  </si>
  <si>
    <t>04100 00000</t>
  </si>
  <si>
    <t>04300 00000</t>
  </si>
  <si>
    <t>05000 00000</t>
  </si>
  <si>
    <t>05100 00000</t>
  </si>
  <si>
    <t>05200 00000</t>
  </si>
  <si>
    <t>05300 00000</t>
  </si>
  <si>
    <t>06000 00000</t>
  </si>
  <si>
    <t>06100 00000</t>
  </si>
  <si>
    <t>06200 00000</t>
  </si>
  <si>
    <t>07000 00000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</si>
  <si>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</si>
  <si>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Центральный аппарат</t>
  </si>
  <si>
    <t>Руководитель контрольно-счетной комиссии муниципального образования</t>
  </si>
  <si>
    <t>07Я00 00000</t>
  </si>
  <si>
    <t>Ведомственная структура расходов бюджета города</t>
  </si>
  <si>
    <t>Код главно-го рас-поряди-теля</t>
  </si>
  <si>
    <t>Раз-дел</t>
  </si>
  <si>
    <t>Под-раз-дел</t>
  </si>
  <si>
    <t>Вид         рас-хода</t>
  </si>
  <si>
    <t>00</t>
  </si>
  <si>
    <t>903</t>
  </si>
  <si>
    <t>Общегосударственные вопросы</t>
  </si>
  <si>
    <t>01</t>
  </si>
  <si>
    <t>02</t>
  </si>
  <si>
    <t>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</si>
  <si>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</si>
  <si>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</si>
  <si>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</si>
  <si>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</si>
  <si>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</si>
  <si>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</si>
  <si>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</si>
  <si>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</si>
  <si>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</si>
  <si>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</si>
  <si>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09</t>
  </si>
  <si>
    <t>Культура, кинематография</t>
  </si>
  <si>
    <t>08</t>
  </si>
  <si>
    <t>Другие вопросы в области культуры, кинематографии</t>
  </si>
  <si>
    <t>Государственная поддержка муниципальных общеобразовательных организаций, обеспечивающих высокое качество образования</t>
  </si>
  <si>
    <t xml:space="preserve">                 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</si>
  <si>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                 городской Думы</t>
  </si>
  <si>
    <t>08000 00000</t>
  </si>
  <si>
    <t>08Я00 00000</t>
  </si>
  <si>
    <t>Вид расхода</t>
  </si>
  <si>
    <t>Подпрограмма «Развитие дошкольного, общего и дополнительного образования детей города Слободского»</t>
  </si>
  <si>
    <t>Подпрограмма «Развитие кадрового потенциала системы образования города Слободского»</t>
  </si>
  <si>
    <t>Подпрограмма «Реализация государственной молодежной политики и организация отдыха детей и молодежи города Слободского»</t>
  </si>
  <si>
    <t>Подпрограмма «Патриотическое воспитание детей и молодежи города Слободского»</t>
  </si>
  <si>
    <t>Подпрограмма «Развитие муниципального бюджетного учреждения культуры «Слободской музейно-выставочный центр»»</t>
  </si>
  <si>
    <t>Подпрограмма «Информационно-библиотечное обслуживание населения в муниципальном образовании «город Слободской»</t>
  </si>
  <si>
    <t>Подпрограмма «Организация деятельности МБУ  ДК «Паруса»</t>
  </si>
  <si>
    <t>Подпрограмма «Развитие архивного дела в муниципальном образовании «город Слободской»»</t>
  </si>
  <si>
    <t>Поддержка и развитие талантливых и одаренных детей</t>
  </si>
  <si>
    <t>Молодежная политика и оздоровление детей</t>
  </si>
  <si>
    <t>01100 04020</t>
  </si>
  <si>
    <t>01100 04040</t>
  </si>
  <si>
    <t>01200 03000</t>
  </si>
  <si>
    <t>01200 03050</t>
  </si>
  <si>
    <t>01300 04000</t>
  </si>
  <si>
    <t>Мероприятия в области образования</t>
  </si>
  <si>
    <t>01200 04000</t>
  </si>
  <si>
    <t>01200 04010</t>
  </si>
  <si>
    <t>Мероприятия в области молодежной политики</t>
  </si>
  <si>
    <t>01300 04080</t>
  </si>
  <si>
    <t>Муниципальная программа «Развитие культуры в муниципальном образовании «город Слободской»»</t>
  </si>
  <si>
    <t xml:space="preserve">Муниципальная программа «Развитие физической культуры и спорта в муниципальном образовании «город Слободской»» </t>
  </si>
  <si>
    <t>Муниципальная программа  «Обеспечение безопасности населения и территории муниципального образования «город Слободской»»</t>
  </si>
  <si>
    <t>Муниципальная программа «Городское хозяйство муниципального образования «город Слободской»»</t>
  </si>
  <si>
    <t>01400 03000</t>
  </si>
  <si>
    <t>01400 03140</t>
  </si>
  <si>
    <t>Мероприятия по оздоровлению детей и молодежи</t>
  </si>
  <si>
    <t>01400 04030</t>
  </si>
  <si>
    <t>Социальная политика</t>
  </si>
  <si>
    <t>Социальное обеспечение населения</t>
  </si>
  <si>
    <t>Обеспечение мер социальной поддержки отдельных категорий граждан</t>
  </si>
  <si>
    <t>10</t>
  </si>
  <si>
    <t>04200 10000</t>
  </si>
  <si>
    <t>Охрана семьи и детства</t>
  </si>
  <si>
    <t>Подпрограмма "Обеспечение государственных гарантий содержания и социальных прав детей-сирот и детей, оставшихся без попечения родителей"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</si>
  <si>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</si>
  <si>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</si>
  <si>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Социальное обеспечение и иные выплаты населению</t>
  </si>
  <si>
    <t>300</t>
  </si>
  <si>
    <t>04300 16000</t>
  </si>
  <si>
    <t>04200 16000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</si>
  <si>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</si>
  <si>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04200 16130</t>
  </si>
  <si>
    <t>Работники, осуществляющие техническое обеспечение органа местного самоуправления</t>
  </si>
  <si>
    <t>09200 02060</t>
  </si>
  <si>
    <t>Резервные фонды</t>
  </si>
  <si>
    <t>11</t>
  </si>
  <si>
    <t>Резервные фонды администрации</t>
  </si>
  <si>
    <t>09Я00 07000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</si>
  <si>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</si>
  <si>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</si>
  <si>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</si>
  <si>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13</t>
  </si>
  <si>
    <t>Обслуживание государственного (муниципального) долга</t>
  </si>
  <si>
    <t>700</t>
  </si>
  <si>
    <t>09Я00 06000</t>
  </si>
  <si>
    <t>Муниципальное казенное учреждение «Слободская городская библиотека им.А.Грина»</t>
  </si>
  <si>
    <t>Культура</t>
  </si>
  <si>
    <t>Библиотеки</t>
  </si>
  <si>
    <t>02200 03000</t>
  </si>
  <si>
    <t>02200 03080</t>
  </si>
  <si>
    <t>02200 04000</t>
  </si>
  <si>
    <t>02200 04380</t>
  </si>
  <si>
    <t>02200 04390</t>
  </si>
  <si>
    <t>Функционирование высшего должностного лица субъекта Российской Федерации и муниципального образования</t>
  </si>
  <si>
    <t xml:space="preserve"> 09000 00000</t>
  </si>
  <si>
    <t xml:space="preserve"> 09200 00000</t>
  </si>
  <si>
    <t>Глава муниципального образования</t>
  </si>
  <si>
    <t xml:space="preserve">  09200 02010</t>
  </si>
  <si>
    <t>Осуществление деятельности по опеке и попечительству</t>
  </si>
  <si>
    <t>04100 16040</t>
  </si>
  <si>
    <t>Судебная система</t>
  </si>
  <si>
    <t>05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</si>
  <si>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</si>
  <si>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Другие общегосударственные вопросы</t>
  </si>
  <si>
    <t>00000 00000</t>
  </si>
  <si>
    <t>000 </t>
  </si>
  <si>
    <t xml:space="preserve">Подпрограмма "Развитие архивного дела в муниципальном образовании "город Слободской" </t>
  </si>
  <si>
    <t>Архивные учреждения</t>
  </si>
  <si>
    <t>02400 03000</t>
  </si>
  <si>
    <t>02400 03130</t>
  </si>
  <si>
    <t>Мероприятия в области экономики</t>
  </si>
  <si>
    <t>08100 04000</t>
  </si>
  <si>
    <t>08100 04270</t>
  </si>
  <si>
    <t>Управление муниципальным имуществом</t>
  </si>
  <si>
    <t>10100 04000</t>
  </si>
  <si>
    <t>10100 04340</t>
  </si>
  <si>
    <t>Мероприятия в сфере рекламы</t>
  </si>
  <si>
    <t>10Я00 04000</t>
  </si>
  <si>
    <t>10Я00 04350</t>
  </si>
  <si>
    <t>Другие общегосударственные мероприятия</t>
  </si>
  <si>
    <t>09200  04360</t>
  </si>
  <si>
    <t>Учреждения по обеспечению органов местного самоуправления</t>
  </si>
  <si>
    <t>09Я00 03000</t>
  </si>
  <si>
    <t>09Я00 03100</t>
  </si>
  <si>
    <t>Создание и деятельность в муниципальных образованиях административной(ых) комиссии(ий)</t>
  </si>
  <si>
    <t>09Я00 16000</t>
  </si>
  <si>
    <t>Национальная безопасность и правоохранительная деятельность</t>
  </si>
  <si>
    <t>05100 03000</t>
  </si>
  <si>
    <t>05100 03140</t>
  </si>
  <si>
    <t>Поисковые и аварийно-спасательные учреждения</t>
  </si>
  <si>
    <t>05200 03000</t>
  </si>
  <si>
    <t>05200 03120</t>
  </si>
  <si>
    <t>Другие вопросы в области национальной безопасности и правоохранительной деятельности</t>
  </si>
  <si>
    <t>14</t>
  </si>
  <si>
    <t>05400 04000</t>
  </si>
  <si>
    <t>05400 04080</t>
  </si>
  <si>
    <t>Национальная  экономика</t>
  </si>
  <si>
    <t>Сельское хозяйство и рыболовство</t>
  </si>
  <si>
    <t>06300 16000</t>
  </si>
  <si>
    <t>06300 16160</t>
  </si>
  <si>
    <t>Дорожное хозяйство (дорожные фонды)</t>
  </si>
  <si>
    <t>Мероприятия в области дорожного хозяйства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</si>
  <si>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</si>
  <si>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Осуществление дорожной деятельности в отношении автомобильных дорог общего пользования местного значения</t>
  </si>
  <si>
    <t>06400 04000</t>
  </si>
  <si>
    <t>06400 04390</t>
  </si>
  <si>
    <t>Инвестиционные программы и проекты развития общественной инфраструктуры муниципальных образований в Кировской области</t>
  </si>
  <si>
    <t>06400 15000</t>
  </si>
  <si>
    <t>06400 15170</t>
  </si>
  <si>
    <t>06400 S5170</t>
  </si>
  <si>
    <t>Обеспечение  безопасности дорожного движения на территории  муниципального образования город Слободской</t>
  </si>
  <si>
    <t>Другие вопросы в области национальной экономики</t>
  </si>
  <si>
    <t>12</t>
  </si>
  <si>
    <t>Поддержка и развитие предпринимательства</t>
  </si>
  <si>
    <t>600</t>
  </si>
  <si>
    <t>08200 04000</t>
  </si>
  <si>
    <t>08200 04280</t>
  </si>
  <si>
    <t>Предоставление субсидий бюджетным, автономным учреждениям и иным некоммерческим организациям</t>
  </si>
  <si>
    <t>Мероприятия по развитию торгово-ярмарочной деятельности</t>
  </si>
  <si>
    <t>08Я00 04000</t>
  </si>
  <si>
    <t>08Я00 04330</t>
  </si>
  <si>
    <t>06200 04000</t>
  </si>
  <si>
    <t>Мероприятия по координатному описанию границ</t>
  </si>
  <si>
    <t>10120 04340</t>
  </si>
  <si>
    <t>10Я00 04550</t>
  </si>
  <si>
    <t>Мероприятия по внесению изменений сведений в ГКН по объектам недвижимости</t>
  </si>
  <si>
    <t>10Я00 04600</t>
  </si>
  <si>
    <t>Жилищно-коммунальное хозяйство</t>
  </si>
  <si>
    <t>Жилищное хозяйство</t>
  </si>
  <si>
    <t>Обеспечение контроля за соблюдением требований жилищного законодательства в области жилищных отношений</t>
  </si>
  <si>
    <t>06200 04070</t>
  </si>
  <si>
    <t>Выявление, учет, выполнение работ по ремонту и предоставление гражданам свободных жилых помещений муниципального жилищного фонда на территории  муниципального образования город Слободской</t>
  </si>
  <si>
    <t>06200 04150</t>
  </si>
  <si>
    <t>Коммунальное хозяйство</t>
  </si>
  <si>
    <t>Содержание и ремонт муниципальных электрических сетей на территории  муниципального образования город Слободской</t>
  </si>
  <si>
    <t>06300 04000</t>
  </si>
  <si>
    <t>06300 04170</t>
  </si>
  <si>
    <t>Благоустройство</t>
  </si>
  <si>
    <t>936</t>
  </si>
  <si>
    <t>Содействие занятости детей и подростков</t>
  </si>
  <si>
    <t>04200 04000</t>
  </si>
  <si>
    <t>04200 04130</t>
  </si>
  <si>
    <t>Мероприятия по благоустройству</t>
  </si>
  <si>
    <t>Капитальные вложения в объекты недвижимого имущества государственной (муниципальной) собственности</t>
  </si>
  <si>
    <t>400</t>
  </si>
  <si>
    <t>06300 04220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</si>
  <si>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</si>
  <si>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</si>
  <si>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</si>
  <si>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Субсидия областного бюджета на реализацию государственной программы Кировской области "Охрана окружающей среды, воспроизводство и использование природных ресурсов"</t>
  </si>
  <si>
    <t>Обеспечение экологической безопасности и качества окружающей среды</t>
  </si>
  <si>
    <t>05300 04000</t>
  </si>
  <si>
    <t>05300 04260</t>
  </si>
  <si>
    <t>01Я00 15000</t>
  </si>
  <si>
    <t>Оплата стоимости питания детей в оздоровительных учреждениях с дневным пребыванием детей</t>
  </si>
  <si>
    <t>01Я00 15060</t>
  </si>
  <si>
    <t>01Я00 S5060</t>
  </si>
  <si>
    <t>Музеи</t>
  </si>
  <si>
    <t>02100 03000</t>
  </si>
  <si>
    <t>02100 03070</t>
  </si>
  <si>
    <t>Дворцы, дома и другие учреждения культуры</t>
  </si>
  <si>
    <t>02300 03000</t>
  </si>
  <si>
    <t>02300 03060</t>
  </si>
  <si>
    <t>02Я00 04000</t>
  </si>
  <si>
    <t>Проведение общегородских мероприятий</t>
  </si>
  <si>
    <t>02Я00 04090</t>
  </si>
  <si>
    <t>Сохранение, использование и популяризация объектов культурного наследования (памятников истории и культуры), находящихся в казне муниципального образования</t>
  </si>
  <si>
    <t>02Я00 04110</t>
  </si>
  <si>
    <t>Пенсионное обеспечение</t>
  </si>
  <si>
    <t>Дополнительное пенсионное обеспечение</t>
  </si>
  <si>
    <t>09Я00 08000</t>
  </si>
  <si>
    <t>Мероприятия в сфере социальной политики</t>
  </si>
  <si>
    <t>04200 04120</t>
  </si>
  <si>
    <t>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</si>
  <si>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Расходы на погашение задолженности по оплате за жилое помещение и коммунальные услуги</t>
  </si>
  <si>
    <t>Расходы по администрированию</t>
  </si>
  <si>
    <t>Приобретение (строительство) жилого помещения</t>
  </si>
  <si>
    <t>04300 N0820</t>
  </si>
  <si>
    <t>Другие вопросы в области социальной политики</t>
  </si>
  <si>
    <t>Мероприятия по поддержке общественных организаций</t>
  </si>
  <si>
    <t>04200 04160</t>
  </si>
  <si>
    <t>Физическая культура и спорт</t>
  </si>
  <si>
    <t>Массовый спорт</t>
  </si>
  <si>
    <t>Мероприятия в области физической культуры и спорта</t>
  </si>
  <si>
    <t>03000 04000</t>
  </si>
  <si>
    <t>03000 04060</t>
  </si>
  <si>
    <t>Спорт высших достижений</t>
  </si>
  <si>
    <t xml:space="preserve">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</si>
  <si>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городской Думы</t>
  </si>
  <si>
    <t>Распределение бюджетных ассигнований по разделам и подразделам классификации расходов бюджета города</t>
  </si>
  <si>
    <t>Вид рас-хода</t>
  </si>
  <si>
    <t>Норматив факт</t>
  </si>
  <si>
    <t>Норматив НПА КО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</si>
  <si>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</si>
  <si>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проведения выборов и референдумов</t>
  </si>
  <si>
    <t>Транспорт</t>
  </si>
  <si>
    <t>Профессиональная подготовка, переподготовка и повышение квалификации</t>
  </si>
  <si>
    <t>Здравоохранение</t>
  </si>
  <si>
    <t>Другие вопросы в области здравоохранения</t>
  </si>
  <si>
    <t>Муниципальное учреждение «Слободская городская Дума»</t>
  </si>
  <si>
    <t>Муниципальное казенное учреждение «Финансовое управление администрации города Слободского»</t>
  </si>
  <si>
    <t>Муниципальное казенное учреждение «Администрация города Слободского Кировской области»</t>
  </si>
  <si>
    <t>09200 04000</t>
  </si>
  <si>
    <t>Реализация мероприятий национального проекта "Жилье и городская среда"</t>
  </si>
  <si>
    <t>Федеральный проект "Формирование комфортной городской среды"</t>
  </si>
  <si>
    <t>Мероприятия по формированию современной городской среды</t>
  </si>
  <si>
    <t>070F0 00000</t>
  </si>
  <si>
    <t>070F2 00000</t>
  </si>
  <si>
    <t>070F2 55550</t>
  </si>
  <si>
    <t>07Я00 04000</t>
  </si>
  <si>
    <t>07Я00 04540</t>
  </si>
  <si>
    <t>03000 03000</t>
  </si>
  <si>
    <t>03000 03150</t>
  </si>
  <si>
    <t>09100 11000</t>
  </si>
  <si>
    <t>09200 02010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</si>
  <si>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</si>
  <si>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030P5 00000</t>
  </si>
  <si>
    <t>030P5 50810</t>
  </si>
  <si>
    <t>Федеральный проект "Дорожная сеть"</t>
  </si>
  <si>
    <t>Реализация регионального проекта "Дорожная сеть Кировской области"</t>
  </si>
  <si>
    <t>061R1 00000</t>
  </si>
  <si>
    <t xml:space="preserve">061R1 Д3931 </t>
  </si>
  <si>
    <t>Содержание автомобильных дорог общего пользования местного значения в части выполнения мероприятий по обеспечению безопасности дорожного движения</t>
  </si>
  <si>
    <t>06100 17000</t>
  </si>
  <si>
    <t>06100 17260</t>
  </si>
  <si>
    <t>01100 0301А</t>
  </si>
  <si>
    <t>09Я00 0310A</t>
  </si>
  <si>
    <t xml:space="preserve">Выполнение расходных обязательств муниципальных образований </t>
  </si>
  <si>
    <t>02300 0306A</t>
  </si>
  <si>
    <t>01100 0302А</t>
  </si>
  <si>
    <t>01100 0302A</t>
  </si>
  <si>
    <t xml:space="preserve">Софинансирование к субсидии на выполнение расходных обязательств муниципальных образований </t>
  </si>
  <si>
    <t>01100 0301Б</t>
  </si>
  <si>
    <t>912</t>
  </si>
  <si>
    <t>09200 15000</t>
  </si>
  <si>
    <t>09200 15560</t>
  </si>
  <si>
    <t>09200 S5560</t>
  </si>
  <si>
    <t>09100 15000</t>
  </si>
  <si>
    <t>09100 15560</t>
  </si>
  <si>
    <t>09100 S5560</t>
  </si>
  <si>
    <t>Учреждения осуществляющие спортивную подготовку</t>
  </si>
  <si>
    <t>Организация вручения литературной премии имени А.С.Грина</t>
  </si>
  <si>
    <t>02Я00 04530</t>
  </si>
  <si>
    <t xml:space="preserve">Поддержка отрасли культуры </t>
  </si>
  <si>
    <t>Мероприятия в рамках переписи населения</t>
  </si>
  <si>
    <t>09Я00 04700</t>
  </si>
  <si>
    <t>09Я00 04000</t>
  </si>
  <si>
    <t>Мероприятия по поддержке общественного транспорта</t>
  </si>
  <si>
    <t>09Я00 04190</t>
  </si>
  <si>
    <t>Реализация мероприятий национального проекта "Экология"</t>
  </si>
  <si>
    <t>Федеральный проект "Чистая страна"</t>
  </si>
  <si>
    <t>053G0 00000</t>
  </si>
  <si>
    <t>053G1 N0160</t>
  </si>
  <si>
    <t>20000 00000</t>
  </si>
  <si>
    <t>20000 02050</t>
  </si>
  <si>
    <t>Информатизация системы образования</t>
  </si>
  <si>
    <t>01000 00000</t>
  </si>
  <si>
    <t>Реализация мероприятий национального проекта «Жилье и городская среда»</t>
  </si>
  <si>
    <t>Федеральный проект «Формирование комфортной городской среды»</t>
  </si>
  <si>
    <t>04100 04000</t>
  </si>
  <si>
    <t>04100 04080</t>
  </si>
  <si>
    <t>Развитие и укрепление материально-технической базы домов культуры в населенных пунктах с численностью жителей до 50 тысяч человек</t>
  </si>
  <si>
    <t>02Я00 S4670</t>
  </si>
  <si>
    <t>01300 15000</t>
  </si>
  <si>
    <t>01300 15060</t>
  </si>
  <si>
    <t>01300 S5060</t>
  </si>
  <si>
    <t>01100 04500</t>
  </si>
  <si>
    <t>Мероприятия, не вошедшие в подпрограммы</t>
  </si>
  <si>
    <t>030P0 00000</t>
  </si>
  <si>
    <t>Реализация мероприятий национального проекта «Демография»</t>
  </si>
  <si>
    <t>Федеральный проект «Спорт – норма жизни»</t>
  </si>
  <si>
    <t>Обеспечение деятельности контрольно-счетного органа муниципального образования  «город Слободской»</t>
  </si>
  <si>
    <t xml:space="preserve">                                       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</si>
  <si>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                                       городской Думы</t>
  </si>
  <si>
    <t>02Я00 L5190</t>
  </si>
  <si>
    <t xml:space="preserve">Софинансирование к субсидии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в муниципальных образовательных организациях  </t>
  </si>
  <si>
    <t>01100 S5480</t>
  </si>
  <si>
    <t>Увековечение памяти погибших при защите отечества</t>
  </si>
  <si>
    <t>01400 L2990</t>
  </si>
  <si>
    <t>06Я00 00000</t>
  </si>
  <si>
    <t>06Я00 04000</t>
  </si>
  <si>
    <t>06Я00 04440</t>
  </si>
  <si>
    <t>Закупка товаров, работ и услуг для государственных (муниципальных) нужд</t>
  </si>
  <si>
    <t>Закупка товаров, работ и услуг для обеспечения государственных (муниципальных) нужд</t>
  </si>
  <si>
    <t>02200 0308A</t>
  </si>
  <si>
    <t>02200 0308Б</t>
  </si>
  <si>
    <t>02400 0313A</t>
  </si>
  <si>
    <t>02400 0313Б</t>
  </si>
  <si>
    <t>02100 0307A</t>
  </si>
  <si>
    <t>02100 0307Б</t>
  </si>
  <si>
    <t>02300 0306Б</t>
  </si>
  <si>
    <t>Мероприятия по повышению квалификации, подготовке и переподготовке кадров</t>
  </si>
  <si>
    <t>09200 04370</t>
  </si>
  <si>
    <t>Реализация проекта "Булатову-булатная память"</t>
  </si>
  <si>
    <t>02Я00 04800</t>
  </si>
  <si>
    <t>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</si>
  <si>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на подготовку и повышение квалификации лиц, замещающих муниципальные должности, и муниципальных служащихо основным вопросам деятельности органов местного самоуправления</t>
  </si>
  <si>
    <t xml:space="preserve"> 09200 02010</t>
  </si>
  <si>
    <t>Софинансирование к субсидии на подготовку и повышение квалификации лиц, замещающих муниципальные должности, и муниципальных служащих о основным вопросам деятельности органов местного самоуправления</t>
  </si>
  <si>
    <t>Подготовка и повышение квалификации лиц, замещающих муниципальные должности, и муниципальных служащих о основным вопросам деятельности органов местного самоуправления</t>
  </si>
  <si>
    <t>Софинансирование к субсидии на подготовку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</si>
  <si>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Иные межбюджетные трансферты, получаемые из бюджетов муниципальных образований на исполнение их расходных обязательств</t>
  </si>
  <si>
    <t>05100 13000</t>
  </si>
  <si>
    <t>10200 04000</t>
  </si>
  <si>
    <t>10200 00000</t>
  </si>
  <si>
    <t>10200 04340</t>
  </si>
  <si>
    <t xml:space="preserve">Исполнение судебных актов и мировых соглашений по обращению 
взыскания на средства бюджета города
</t>
  </si>
  <si>
    <t xml:space="preserve">10100 11020 </t>
  </si>
  <si>
    <t>04Я00 00000</t>
  </si>
  <si>
    <t>Приспособление жилых помещений и общего имущества в многоквартирном доме с учетом потребностей инвалидов</t>
  </si>
  <si>
    <t>Проведение Всероссийской переписи населения 2020 года</t>
  </si>
  <si>
    <t>09Я00 54690</t>
  </si>
  <si>
    <t>07000 04390</t>
  </si>
  <si>
    <t>01300 04030</t>
  </si>
  <si>
    <t>01300 04400</t>
  </si>
  <si>
    <t>Муниципальная программа «Формирование современной городской среды города Слободского</t>
  </si>
  <si>
    <t>Подпрограмма «Развитие общественной инфраструктуры в муниципальном образовании «город Слободской»</t>
  </si>
  <si>
    <t>Федеральный проект «Дорожная сеть»</t>
  </si>
  <si>
    <t>Реализация регионального проекта «Дорожная сеть Кировской области»</t>
  </si>
  <si>
    <t>Федеральный проект «Общесистемные меры развития дорожного хозяйства»</t>
  </si>
  <si>
    <t>Реализация мероприятий национального проекта «Безопасные и качественные автомобильные дороги»</t>
  </si>
  <si>
    <t>061R0 00000</t>
  </si>
  <si>
    <t>061R2 00000</t>
  </si>
  <si>
    <t>061R2 17260</t>
  </si>
  <si>
    <t>07000 04000</t>
  </si>
  <si>
    <t>01400 04230</t>
  </si>
  <si>
    <t>Реализация мероприятий по увековечению памяти погибших при защите отечества за счет средств местного бюджета</t>
  </si>
  <si>
    <t>10Я00 15590</t>
  </si>
  <si>
    <t>10Я00 15000</t>
  </si>
  <si>
    <t xml:space="preserve"> Подготовка сведений о границах территориальных зон</t>
  </si>
  <si>
    <t>Софинансирование к субсидии на подготовку сведений о границах территориальных зон</t>
  </si>
  <si>
    <t>10Я00 S5590</t>
  </si>
  <si>
    <t xml:space="preserve">06100 11020 </t>
  </si>
  <si>
    <t>Организация бесплатного горячего питания обучающихся, получающих начальное образованиев муниципальных образовательных организациях</t>
  </si>
  <si>
    <t>01100 L3040</t>
  </si>
  <si>
    <t xml:space="preserve"> Eжемесячное денежное вознаграждение за классное руководство педагогическим работникам муниципальных общеобразовательных организаций</t>
  </si>
  <si>
    <t>01100 53030</t>
  </si>
  <si>
    <t>Обеспечение мер по поддержке перевозчиков, осуществляющих регулярные перевозки пассажиров и багажа автомобильным транспортом и (или) городским наземным электрическим транспортом</t>
  </si>
  <si>
    <t>06Я00 13080</t>
  </si>
  <si>
    <t>Софинансирование к субсидии на обеспечение мер по поддержке перевозчиков, осуществляющих регулярные перевозки пассажиров и багажа автомобильным транспортом и (или) городским наземным электрическим транспортом</t>
  </si>
  <si>
    <t>06Я00 S3080</t>
  </si>
  <si>
    <t>06Я00 04390</t>
  </si>
  <si>
    <t>Реализация проекта за счет целевого благотворительного пожертвования "Бабушки и внуки - со спортом против скуки""</t>
  </si>
  <si>
    <t>02Я00 04810</t>
  </si>
  <si>
    <t xml:space="preserve">00000 00000 </t>
  </si>
  <si>
    <t>Санитарно-эпидемиологическое благополучие</t>
  </si>
  <si>
    <t>Проведение мероприятий, связанных с обеспечением санитарно – 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</si>
  <si>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09ЯW0 58530</t>
  </si>
  <si>
    <t>Мероприятия по обеспечению персонифицированного финансирования дополнительного образовования детей</t>
  </si>
  <si>
    <t>01100 04560</t>
  </si>
  <si>
    <t>01100 0302Б</t>
  </si>
  <si>
    <t>Исполнение судебных актов и мировых соглашений по обращению 
взыскания на средства бюджета города</t>
  </si>
  <si>
    <t>06200 11020</t>
  </si>
  <si>
    <t>Исполнение судебных актов и мировых соглашений по обращению 
взыскания на средства бюджета город</t>
  </si>
  <si>
    <t>06100 11020</t>
  </si>
  <si>
    <t>Другие общегосударственные расходы</t>
  </si>
  <si>
    <t>02Я00 11000</t>
  </si>
  <si>
    <t>01300 04820</t>
  </si>
  <si>
    <t xml:space="preserve">Мероприятия за счет гранта на развитие деятельности волонтерского отряда </t>
  </si>
  <si>
    <t>04Я00 04830</t>
  </si>
  <si>
    <t>04Я00 04000</t>
  </si>
  <si>
    <t>20000 02000</t>
  </si>
  <si>
    <t>Подпрограмма «Комплексные меры противодействия немедицинскому потреблению наркотических средств и их незаконному обороту в городе Слободском»</t>
  </si>
  <si>
    <t>01100 0314Б</t>
  </si>
  <si>
    <t>01100 0304A</t>
  </si>
  <si>
    <t>01400 0314A</t>
  </si>
  <si>
    <t>01100 0314A</t>
  </si>
  <si>
    <t>01200 0305A</t>
  </si>
  <si>
    <t>09200 0202A</t>
  </si>
  <si>
    <t>03000 0315A</t>
  </si>
  <si>
    <t>05100 0314A</t>
  </si>
  <si>
    <t>05200 0312A</t>
  </si>
  <si>
    <t xml:space="preserve">  09200 0201A</t>
  </si>
  <si>
    <t xml:space="preserve"> 09200 0201A</t>
  </si>
  <si>
    <t xml:space="preserve"> 061R1 Д3931 </t>
  </si>
  <si>
    <t>20000 0205A</t>
  </si>
  <si>
    <t>01100 16170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</si>
  <si>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</si>
  <si>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04400 00000</t>
  </si>
  <si>
    <t>Подпрограмма "Комплексные меры противодействия немедицинскому потреблению наркотических средств и их незаконному обороту в городе Слободском"</t>
  </si>
  <si>
    <t>04400 04000</t>
  </si>
  <si>
    <t>Проведение выборов и референдумов</t>
  </si>
  <si>
    <t>09Я00 05000</t>
  </si>
  <si>
    <t>Выборы депутатов представительного органа местного самоуправления</t>
  </si>
  <si>
    <t>09Я00 05030</t>
  </si>
  <si>
    <t>10200 R5110</t>
  </si>
  <si>
    <t>Проведение комплексных кадастровых работ</t>
  </si>
  <si>
    <t xml:space="preserve">07 </t>
  </si>
  <si>
    <t>01400 04090</t>
  </si>
  <si>
    <t>02300 0306А</t>
  </si>
  <si>
    <t>Создание в муниципальных районах, муниципальных и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</si>
  <si>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Осуществление отдельных государственных полномочий по хранению, комплектованию, учету и использованию архивных документов</t>
  </si>
  <si>
    <t>Осуществление отдельных государственных полномочий Кировской области в области обращения с животными в части организации мероприятий при осуществлении деятельности по обращению с животными без владельцев на территории муниципальных районов, муниципальных округов и городских округов Кировской области</t>
  </si>
  <si>
    <t>04400 04080</t>
  </si>
  <si>
    <t>Модернизация и развитие инфраструктуры дошкольного, общего и дополнительного образования на территории муниципального образования «город Слободской»</t>
  </si>
  <si>
    <t>10200 L5110</t>
  </si>
  <si>
    <t>обл</t>
  </si>
  <si>
    <t>приказ</t>
  </si>
  <si>
    <t>местн</t>
  </si>
  <si>
    <t>064001517П</t>
  </si>
  <si>
    <t>02ЯА155190</t>
  </si>
  <si>
    <t>0640015178</t>
  </si>
  <si>
    <t>064001517К</t>
  </si>
  <si>
    <t>0110004500</t>
  </si>
  <si>
    <t>06400S517В</t>
  </si>
  <si>
    <t>Станции юных туристов и техников</t>
  </si>
  <si>
    <t xml:space="preserve"> Инвестиционные программы и проекты развития общественной инфраструктуры муниципальных образований в Кировской области  ("Юные моделисты", устройство ограждения и асфальтирование территории, прилегающей в зданию муниципального казенного учреждения дополнительного образования "Станция юных туристов и техников", ул.К. Маркса, д.3, г.Слободской)</t>
  </si>
  <si>
    <t>Доступное детство, ремонт отмостки и входных групп здания муниципального казенного учреждения дополнительного образования "Станция юных туристов и техников", ул.Кирова, д.27, г.Слободской</t>
  </si>
  <si>
    <t>Мероприятия за счет добровольных пожертвований ("Юные моделисты", устройство ограждения и асфальтирование территории, прилегающей в зданию муниципального казенного учреждения дополнительного образования "Станция юных туристов и техников", ул.К. Маркса, д.3, г.Слободской)</t>
  </si>
  <si>
    <t>Мероприятия за счет добровольных пожертвований ("Доступное детство", ремонт отмостки и входных групп здания муниципального казенного учреждения дополнительного образования "Станция юных туристов и техников", ул.Кирова, д.27, г.Слободской)</t>
  </si>
  <si>
    <t>06400 1517М</t>
  </si>
  <si>
    <t>06400 0439В</t>
  </si>
  <si>
    <t>06400 1517В</t>
  </si>
  <si>
    <t>Инвестиционные программы и проекты развития общественной инфраструктуры муниципальных образований в Кировской области ("Территория детского чтения", ремонт помещений в здании Центра чтения детей и подростков МКУ "Библиотека им. А.Грина", ул.Советская, д.64, г.Слободской)</t>
  </si>
  <si>
    <t>Мероприятия за счет добровольных пожертвований ("Территория детского чтения", ремонт помещений в здании Центра чтения детей и подростков МКУ "Библиотека им. А.Грина", ул.Советская, д.64, г.Слободской)</t>
  </si>
  <si>
    <t>02Я00 04450</t>
  </si>
  <si>
    <t>Государственная поддержка отрасли культуры</t>
  </si>
  <si>
    <t>Федеральный проект "Культурная среда"</t>
  </si>
  <si>
    <t>02ЯА0 00000</t>
  </si>
  <si>
    <t>Детские художественные школы</t>
  </si>
  <si>
    <t>Детские школы искусств</t>
  </si>
  <si>
    <t>01100 03160</t>
  </si>
  <si>
    <t>01100 03170</t>
  </si>
  <si>
    <t>01100 0317А</t>
  </si>
  <si>
    <t>Защита населения и территории от чрезвычайных ситуаций природного и техногенного характера, пожарная безопасность</t>
  </si>
  <si>
    <t>Инвестиционные программы и проекты развития общественной инфраструктуры муниципальных образований в Кировской области  ("Дорога к роднику. Продолжение.", ремонт участка дороги по ул.Родниковая,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</si>
  <si>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("Дорога к цивилизации", асфальтирование участка дороги по ул.Городищенская от ул.Кедровая до д.40 по ул.Городищенская, г.Слободской )</t>
  </si>
  <si>
    <t>Инвестиционные программы и проекты развития общественной инфраструктуры муниципальных образований в Кировской области  ("Шелковый путь", асфальтирование придомовой территории у д. 9 по ул. Корто,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</si>
  <si>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("К школе 5 - дорога на 5",  ремонт тротуаров с установкой системы видеонаблюдения по ул. Гоголя от ул. Ст.Халтурина до ул. Никольская, г. Слободской)</t>
  </si>
  <si>
    <t>Инвестиционные программы и проекты развития общественной инфраструктуры муниципальных образований в Кировской области   ("Дорога достойной жизни", ремонт участка дороги по пер.Ухтымский   до д. 20 а по ул.Успенская,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</si>
  <si>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("Сухой двор-предел мечтаний", благоустройство придомовой территории у д.102, ул.Ленина,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</si>
  <si>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("Безопасность наших дворов", ремонт тротуара, дворового проезда и устройство автомобильной парковки у д.46 и д.48 по ул. Слободская, г.Слободской)</t>
  </si>
  <si>
    <t>Мероприятия за счет добровольных пожертвований ("Дорога к роднику. Продолжение.", ремонт участка дороги по ул.Родниковая, г.Слободской)</t>
  </si>
  <si>
    <t>Мероприятия за счет добровольных пожертвований ("Дорога к цивилизации", асфальтирование участка дороги по ул.Городищенская от ул.Кедровая до д.40 по ул.Городищенская, г.Слободской )</t>
  </si>
  <si>
    <t>Мероприятия за счет добровольных пожертвований ("Шелковый путь", асфальтирование придомовой территории у д. 9 по ул. Корто, г.Слободской)</t>
  </si>
  <si>
    <t>Мероприятия за счет добровольных пожертвований ("К школе 5 - дорога на 5",  ремонт тротуаров с установкой системы видеонаблюдения по ул. Гоголя от ул. Ст.Халтурина до ул. Никольская, г. Слободской)</t>
  </si>
  <si>
    <t>Мероприятия за счет добровольных пожертвований ("Дорога достойной жизни", ремонт участка дороги по пер.Ухтымский   до д. 20 а по ул.Успенская, г.Слободской)</t>
  </si>
  <si>
    <t>Мероприятия за счет добровольных пожертвований ("Сухой двор-предел мечтаний", благоустройство придомовой территории у д.102, ул.Ленина, г.Слободской)</t>
  </si>
  <si>
    <t>Мероприятия за счет добровольных пожертвований ("Безопасность наших дворов", ремонт тротуара, дворового проезда и устройство автомобильной парковки у д.46 и д.48 по ул. Слободская, г.Слободской)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</si>
  <si>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</si>
  <si>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</si>
  <si>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 xml:space="preserve">Инвестиционные программы и проекты развития общественной инфраструктуры муниципальных образований в Кировской области </t>
  </si>
  <si>
    <t>Инвестиционные программы и проекты развития общественной инфраструктуры муниципальных образований в Кировской области ("Лучше всех!", устройство видеонаблюдения и освещения детской и спортивной площадок, искусственного покрытия на спортивной площадке у д.25 по ул.Никольская и д.92 по ул.Дерышева, г.Слободской )</t>
  </si>
  <si>
    <t xml:space="preserve"> Инвестиционные программы и проекты развития общественной инфраструктуры муниципальных образований в Кировской области  ("На радость детям и взрослым", устройствоо детской игровой площадки у д.20 б, ул.Кирова,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</si>
  <si>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("Вектор футбола", устройство мини-футбольного поля в районе д.11 а по ул.Железнодорожная, г.Слободской )</t>
  </si>
  <si>
    <t>Инвестиционные программы и проекты развития общественной инфраструктуры муниципальных образований в Кировской области   ("Огонь немеркнущей славы", ремонт памятника воинам-освободителям мемориала "Вечный огонь", г.Слободской)</t>
  </si>
  <si>
    <t>Мероприятия за счет добровольных пожертвований ("Вектор футбола", устройство мини-футбольного поля в районе д.11 а по ул.Железнодорожная, г.Слободской )</t>
  </si>
  <si>
    <t>Мероприятия за счет добровольных пожертвований ("Огонь немеркнущей славы", ремонт памятника воинам-освободителям мемориала "Вечный огонь", г.Слободской)</t>
  </si>
  <si>
    <t>Мероприятия за счет добровольных пожертвований ("Лучше всех!", устройство видеонаблюдения и освещения детской и спортивной площадок, искусственного покрытия на спортивной площадке у д.25 по ул.Никольская и д.92 по ул.Дерышева, г.Слободской )</t>
  </si>
  <si>
    <t>Мероприятия за счет добровольных пожертвований ("На радость детям и взрослым", устройствоо детской игровой площадки у д.20 б, ул.Кирова,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</si>
  <si>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("Новая кровля - новые возможности", ремонт кровли здания муниципального бюджетного учреждения Дворец Культуры "Паруса" города Слободского Кировской области, ул.Октябрьская, д.46,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</si>
  <si>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("Мечты в реальность", замена антрактно-раздвижного занавеса сцены в здании Дома культуры им.Горького муниципального бюджетного учреждения Дворец Культуры "Паруса" города Слободского Кировской области, ул.Советская, д.100, г.Слободской )</t>
  </si>
  <si>
    <t>Мероприятия за счет добровольных пожертвований ("Новая кровля - новые возможности", ремонт кровли здания муниципального бюджетного учреждения Дворец Культуры "Паруса" города Слободского Кировской области, ул.Октябрьская, д.46, г.Слободской )</t>
  </si>
  <si>
    <t>Мероприятия за счет добровольных пожертвований ("Мечты в реальность", замена антрактно-раздвижного занавеса сцены в здании Дома культуры им.Горького муниципального бюджетного учреждения Дворец Культуры "Паруса" города Слободского Кировской области, ул.Советская, д.100, г.Слободской )</t>
  </si>
  <si>
    <t>06400 15176</t>
  </si>
  <si>
    <t>06400 1517Л</t>
  </si>
  <si>
    <t>06400 S5176</t>
  </si>
  <si>
    <t>06400 S517Л</t>
  </si>
  <si>
    <t>06400 04396</t>
  </si>
  <si>
    <t>06400 0439Л</t>
  </si>
  <si>
    <t>Инвестиционные программы и проекты развития общественной инфраструктуры муниципальных образований в Кировской области  ("Без тепла и жизнь не та", ремонт системы отопления в здании спортпавильона муниципального бюджетного учреждения "Спортивная школа" города Слободского, ул.Советская, д.98 а,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</si>
  <si>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("Тихо шифером шурша будет крыша хороша", ремонт кровли здания спорткомплекса "Мебельщик" муниципального бюджетного учреждения  "Спортивная школа" города Слободского, ул.Ленина, д.1 б, г.Слободской)</t>
  </si>
  <si>
    <t>Мероприятия за счет добровольных пожертвований ("Без тепла и жизнь не та", ремонт системы отопления в здании спортпавильона муниципального бюджетного учреждения "Спортивная школа" города Слободского, ул.Советская, д.98 а, г.Слободской)</t>
  </si>
  <si>
    <t>Мероприятия за счет добровольных пожертвований ("Тихо шифером шурша будет крыша хороша", ремонт кровли здания спорткомплекса "Мебельщик" муниципального бюджетного учреждения  "Спортивная школа" города Слободского, ул.Ленина, д.1 б, г.Слободской)</t>
  </si>
  <si>
    <t>01100 03180</t>
  </si>
  <si>
    <t>06300 04390</t>
  </si>
  <si>
    <t>-170</t>
  </si>
  <si>
    <t>-233,949</t>
  </si>
  <si>
    <t>1000</t>
  </si>
  <si>
    <t>170</t>
  </si>
  <si>
    <t xml:space="preserve">Мероприятия за счет добровольных пожертвований </t>
  </si>
  <si>
    <t>233,949</t>
  </si>
  <si>
    <t>Финансовое обеспечение (возмещение) затрат на приобретение мазута</t>
  </si>
  <si>
    <t>06Я00 17270</t>
  </si>
  <si>
    <t>06ЯF5 N243Г</t>
  </si>
  <si>
    <t>06Я00 04190</t>
  </si>
  <si>
    <t>06400 S517М</t>
  </si>
  <si>
    <t>06400 S517П</t>
  </si>
  <si>
    <t>06400 S517К</t>
  </si>
  <si>
    <t>06400 S517Ж</t>
  </si>
  <si>
    <t>06400 S517Е</t>
  </si>
  <si>
    <t>06400 S517Д</t>
  </si>
  <si>
    <t>06400 S517Г</t>
  </si>
  <si>
    <t>06400 S517В</t>
  </si>
  <si>
    <t>06400 S5179</t>
  </si>
  <si>
    <t>06400 S5178</t>
  </si>
  <si>
    <t>06400 S5177</t>
  </si>
  <si>
    <t>06400 S5175</t>
  </si>
  <si>
    <t>06400 S5174</t>
  </si>
  <si>
    <t>06400 S5173</t>
  </si>
  <si>
    <t>06400 S5172</t>
  </si>
  <si>
    <t>06400 S5171</t>
  </si>
  <si>
    <t>06400 1517П</t>
  </si>
  <si>
    <t>06400 1517К</t>
  </si>
  <si>
    <t>06400 1517Ж</t>
  </si>
  <si>
    <t>06400 1517Е</t>
  </si>
  <si>
    <t>06400 1517Д</t>
  </si>
  <si>
    <t>06400 1517Г</t>
  </si>
  <si>
    <t>06400 15179</t>
  </si>
  <si>
    <t>06400 15178</t>
  </si>
  <si>
    <t>06400 15177</t>
  </si>
  <si>
    <t>06400 15175</t>
  </si>
  <si>
    <t>06400 15174</t>
  </si>
  <si>
    <t>06400 15173</t>
  </si>
  <si>
    <t>06400 15172</t>
  </si>
  <si>
    <t>06400 15171</t>
  </si>
  <si>
    <t>06400 0439П</t>
  </si>
  <si>
    <t>06400 0439М</t>
  </si>
  <si>
    <t>06400 0439К</t>
  </si>
  <si>
    <t>06400 0439Ж</t>
  </si>
  <si>
    <t>06400 0439Е</t>
  </si>
  <si>
    <t>06400 0439Д</t>
  </si>
  <si>
    <t>06400 0439Г</t>
  </si>
  <si>
    <t>06400 04399</t>
  </si>
  <si>
    <t>06400 04398</t>
  </si>
  <si>
    <t>06400 04397</t>
  </si>
  <si>
    <t>06400 04395</t>
  </si>
  <si>
    <t>06400 04394</t>
  </si>
  <si>
    <t>06400 04393</t>
  </si>
  <si>
    <t>06400 04392</t>
  </si>
  <si>
    <t>06400 04391</t>
  </si>
  <si>
    <t>дума 21.04.2021</t>
  </si>
  <si>
    <t>приказы</t>
  </si>
  <si>
    <t xml:space="preserve">Мероприятия по повышению квалификации, подготовке и переподготовке кадров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</si>
  <si>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</si>
  <si>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</si>
  <si>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</si>
  <si>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01300 04380</t>
  </si>
  <si>
    <t>061R1 53930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</si>
  <si>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</si>
  <si>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06300 11020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</si>
  <si>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</si>
  <si>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053G1 52420</t>
  </si>
  <si>
    <t>053G1 00000</t>
  </si>
  <si>
    <t>01100 0318A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</si>
  <si>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</si>
  <si>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011E1 1546Г</t>
  </si>
  <si>
    <t>Создание мест (площадок) накопления твердых коммунальных отходов</t>
  </si>
  <si>
    <t>06300 15540</t>
  </si>
  <si>
    <t>06300 15000</t>
  </si>
  <si>
    <t>04Я00 17000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</si>
  <si>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</si>
  <si>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04Я00 17380</t>
  </si>
  <si>
    <t>Дума 16.06.2021</t>
  </si>
  <si>
    <t>06Я00 11020</t>
  </si>
  <si>
    <t>02ЯА1 55190</t>
  </si>
  <si>
    <t>Реализация мероприятий национального проекта "Образование"</t>
  </si>
  <si>
    <t>011E0 00000</t>
  </si>
  <si>
    <t>01100 0318Б</t>
  </si>
  <si>
    <t>Софинансирование к субсидии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</si>
  <si>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Федеральный проект "Современная школа"</t>
  </si>
  <si>
    <t>011E1 00000</t>
  </si>
  <si>
    <t>011E1 15000</t>
  </si>
  <si>
    <t>01100 11020</t>
  </si>
  <si>
    <t>011E1 S546Г</t>
  </si>
  <si>
    <t>город</t>
  </si>
  <si>
    <t xml:space="preserve">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в муниципальных образовательных организациях</t>
  </si>
  <si>
    <t>01100 15480</t>
  </si>
  <si>
    <t>06300 S5540</t>
  </si>
  <si>
    <t>Софинансирование к созданию мест (площадок) накопления твердых коммунальных отходов</t>
  </si>
  <si>
    <t>06400 04220</t>
  </si>
  <si>
    <t>01100 15000</t>
  </si>
  <si>
    <t xml:space="preserve">10200 11020 </t>
  </si>
  <si>
    <t>06ЯF0 00000</t>
  </si>
  <si>
    <t>Федеральный проект "Чистая вода"</t>
  </si>
  <si>
    <t>09100 04370</t>
  </si>
  <si>
    <t>дума</t>
  </si>
  <si>
    <t>Муниципальная программа "Переселение граждан, проживающих на территории муниципального образования "город Слободской", из аварийного жилищного фонда"</t>
  </si>
  <si>
    <t>11000 00000</t>
  </si>
  <si>
    <t>11Я00 00000</t>
  </si>
  <si>
    <t>11ЯF0 00000</t>
  </si>
  <si>
    <t>Федеральный проект "Обеспечение устойчивого сокращения непригодного для проживания жилищного фонда"</t>
  </si>
  <si>
    <t>11ЯF3 00000</t>
  </si>
  <si>
    <t>11ЯF3 67483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</si>
  <si>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</si>
  <si>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11ЯF3 67484</t>
  </si>
  <si>
    <t>Обеспечение мероприятий по переселению граждан из аварийного жилищного фонда за счет средств областного бюджета</t>
  </si>
  <si>
    <t>Приказ</t>
  </si>
  <si>
    <t>09200 0206A</t>
  </si>
  <si>
    <t xml:space="preserve">  09200 0202A</t>
  </si>
  <si>
    <t xml:space="preserve">  09200 0206A</t>
  </si>
  <si>
    <t>Дума обл</t>
  </si>
  <si>
    <t>Дума мест</t>
  </si>
  <si>
    <t>947</t>
  </si>
  <si>
    <t>05Я00 00000</t>
  </si>
  <si>
    <t>Бюджетные инвестиции в объекты капитального строительства</t>
  </si>
  <si>
    <t>Бюджетные инвестиции в прочие объекты</t>
  </si>
  <si>
    <t>05Я0012000</t>
  </si>
  <si>
    <t>05Я00 12030</t>
  </si>
  <si>
    <t xml:space="preserve">                                                                                                                                                         Приложение № 10</t>
  </si>
  <si>
    <t xml:space="preserve">                                                                                                                  Приложение № 6</t>
  </si>
  <si>
    <t xml:space="preserve">                                                                                                                                   Приложение № 8</t>
  </si>
  <si>
    <t>Условно утверждаемые расходы</t>
  </si>
  <si>
    <t>09200 88000</t>
  </si>
  <si>
    <t>муниципальное казенное учреждение «Контрольно-счетная комиссия города Слободского"</t>
  </si>
  <si>
    <t>муниципальное казенное учреждение «Отдел образования и молодежной политики администрации города Слободского»</t>
  </si>
  <si>
    <t>011E2 00000</t>
  </si>
  <si>
    <t>011E2 50970</t>
  </si>
  <si>
    <t>Федеральный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</si>
  <si>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</si>
  <si>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область</t>
  </si>
  <si>
    <t>Реализация мероприятий по обеспечению жильем молодых семей</t>
  </si>
  <si>
    <t>Реализация регионального проекта "Региональная и местная дорожная сеть Кировской области"</t>
  </si>
  <si>
    <t>Мероприятия по обеспечению персонифицированного финансирования дополнительного образования детей</t>
  </si>
  <si>
    <t>Федеральный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</si>
  <si>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</si>
  <si>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014E0 00000</t>
  </si>
  <si>
    <t>014EB 00000</t>
  </si>
  <si>
    <t>011Е0 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</si>
  <si>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</si>
  <si>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011E2 50980</t>
  </si>
  <si>
    <t>07Я00 04390</t>
  </si>
  <si>
    <t>Мероприятия по обеспечению безопасности населения</t>
  </si>
  <si>
    <t>05Я00 04860</t>
  </si>
  <si>
    <t>обл+софин</t>
  </si>
  <si>
    <t>м.б.</t>
  </si>
  <si>
    <t>Организация деятельности народных дружин</t>
  </si>
  <si>
    <t>Обеспечение безопасности муниципальных общеобразовательных организаций Кировской области</t>
  </si>
  <si>
    <t>Сумма на 2026 год                 (тыс. руб.)</t>
  </si>
  <si>
    <t>Сумма на 2026 год (тыс.рублей)</t>
  </si>
  <si>
    <t>011Q0 17000</t>
  </si>
  <si>
    <t>011Q0 17140</t>
  </si>
  <si>
    <t>011Q0 16000</t>
  </si>
  <si>
    <t>011Q0 16170</t>
  </si>
  <si>
    <t>011Q0 17010</t>
  </si>
  <si>
    <t>011Q0 17150</t>
  </si>
  <si>
    <t>011Q0 53030</t>
  </si>
  <si>
    <t>011Q0 L3040</t>
  </si>
  <si>
    <t>013Q0 15000</t>
  </si>
  <si>
    <t>013Q0 15060</t>
  </si>
  <si>
    <t>013Q0 S5060</t>
  </si>
  <si>
    <t>042Q0 16000</t>
  </si>
  <si>
    <t>042Q0 16130</t>
  </si>
  <si>
    <t>043Q0 16000</t>
  </si>
  <si>
    <t>043Q0 16080</t>
  </si>
  <si>
    <t>02ЯQ0 L5190</t>
  </si>
  <si>
    <t>041Q0 16000</t>
  </si>
  <si>
    <t>041Q0 16060</t>
  </si>
  <si>
    <t>043Q0 16040</t>
  </si>
  <si>
    <t>09ЯQ0 51200</t>
  </si>
  <si>
    <t>024Q0 16000</t>
  </si>
  <si>
    <t>024Q0 16010</t>
  </si>
  <si>
    <t>09ЯQ0 16050</t>
  </si>
  <si>
    <t>041Q0 15160</t>
  </si>
  <si>
    <t>041Q0 S5160</t>
  </si>
  <si>
    <t>061Q0 15000</t>
  </si>
  <si>
    <t>061Q0 15080</t>
  </si>
  <si>
    <t>061Q0 S5080</t>
  </si>
  <si>
    <t>061R1 15180</t>
  </si>
  <si>
    <t>061R1 S5180</t>
  </si>
  <si>
    <t>Реализация мероприятий национального проекта "Безопасные качественные дороги"</t>
  </si>
  <si>
    <t>Федеральный проект "Региональная и местная дорожная сеть"</t>
  </si>
  <si>
    <t>102Q0 15140</t>
  </si>
  <si>
    <t>102Q0 S5140</t>
  </si>
  <si>
    <t>091Q0 15000</t>
  </si>
  <si>
    <t>091Q0 15560</t>
  </si>
  <si>
    <t>091Q0 S5560</t>
  </si>
  <si>
    <t>09ЯQ0 16000</t>
  </si>
  <si>
    <t>Подпрограмма «Развитие муниципального бюджетного учреждения культуры «Слободской музейно-выставочный центр»</t>
  </si>
  <si>
    <t>Развитие и укрепление материально-технической базы пожарных частей, расположенных на территории Кировской области</t>
  </si>
  <si>
    <t>05U0Ш 15070</t>
  </si>
  <si>
    <t>05U0Ш S5070</t>
  </si>
  <si>
    <t>02Q00 16000</t>
  </si>
  <si>
    <t>02Q00 16010</t>
  </si>
  <si>
    <t>04Q00 16000</t>
  </si>
  <si>
    <t>04Q00 16060</t>
  </si>
  <si>
    <t>09Q00 16050</t>
  </si>
  <si>
    <t>04Q00 16080</t>
  </si>
  <si>
    <t>04Q00 16130</t>
  </si>
  <si>
    <t>04Q000 16000</t>
  </si>
  <si>
    <t>0Q000 16060</t>
  </si>
  <si>
    <t>01Q00 17000</t>
  </si>
  <si>
    <t>01Q00 17010</t>
  </si>
  <si>
    <t>01Q00 17150</t>
  </si>
  <si>
    <t>01Q00 17140</t>
  </si>
  <si>
    <t>09Q00 00000</t>
  </si>
  <si>
    <t>09Q00 51200</t>
  </si>
  <si>
    <t>01Q00 16000</t>
  </si>
  <si>
    <t>01Q00 16170</t>
  </si>
  <si>
    <t>01Q00 15000</t>
  </si>
  <si>
    <t>01Q00 15060</t>
  </si>
  <si>
    <t>01Q00 S5060</t>
  </si>
  <si>
    <t>09Q00 15000</t>
  </si>
  <si>
    <t>09Q00 15560</t>
  </si>
  <si>
    <t>09Q00 S5560</t>
  </si>
  <si>
    <t>02Q00 L5190</t>
  </si>
  <si>
    <t>01Q00 L3040</t>
  </si>
  <si>
    <t>10Q00 00000</t>
  </si>
  <si>
    <t>10Q00 15140</t>
  </si>
  <si>
    <t>10Q00 S5140</t>
  </si>
  <si>
    <t>04Q00 15160</t>
  </si>
  <si>
    <t>04Q00 S5160</t>
  </si>
  <si>
    <t>01Q00 53030</t>
  </si>
  <si>
    <t>04Q53Д0820</t>
  </si>
  <si>
    <t>04Q53 16092</t>
  </si>
  <si>
    <t>Капитальный ремонт и ремонт автомобильных дорог общего пользования местного значения с твердым покрытием</t>
  </si>
  <si>
    <t>06Q00 15550</t>
  </si>
  <si>
    <t>06Q00 S5550</t>
  </si>
  <si>
    <t>06Q00 17570</t>
  </si>
  <si>
    <t>Актуализация и разработка программы комплексного развития транспортной инфраструктуры и документов планирования комплексной схемы организации дорожного движения Кировской городской агломерации</t>
  </si>
  <si>
    <t>06200 04570</t>
  </si>
  <si>
    <t>Работы по подготовке емкостей для хранения сжиженных углеводородных газов (СУГ) к освидетельствованию, проведение освидетельствования СУГ</t>
  </si>
  <si>
    <t>Сумма на 2026год   (тыс. руб.)</t>
  </si>
  <si>
    <t>Сумма на 2027 год   (тыс. руб.)</t>
  </si>
  <si>
    <t>Сумма на 2027 год (тыс.рублей)</t>
  </si>
  <si>
    <t>Сумма на 2027 год                 (тыс. руб.)</t>
  </si>
  <si>
    <t>Обеспечение бесплатным двухразовым питанием детей-инвалидов (инвалидов), не относящихся к категории лиц с ограниченными возможностями здоровья, обучающихся в муниципальных общеобразовательных организациях и не проживающих в них, а также выплата ежемесячной денежной компенсации родителям (законным представителям) детей-инвалидов, инвалидам в случае их обучения на дому</t>
  </si>
  <si>
    <t>04Q00 16180</t>
  </si>
  <si>
    <t>06Q00 9Д051</t>
  </si>
  <si>
    <t>06Q00 SД051</t>
  </si>
  <si>
    <t>060И0 00000</t>
  </si>
  <si>
    <t>060И8 00000</t>
  </si>
  <si>
    <t>060И8 9Д150</t>
  </si>
  <si>
    <t>060И8 SД150</t>
  </si>
  <si>
    <t>Национальный проект "Инфраструктура для жизни"</t>
  </si>
  <si>
    <t>Капитальный ремонт, ремонт и содержание автомобильных дорог общего пользования местного значения и искусственных дорожных на них</t>
  </si>
  <si>
    <t>06U0Ж 15540</t>
  </si>
  <si>
    <t>06U0Ж 15000</t>
  </si>
  <si>
    <t>06U0Ж S5540</t>
  </si>
  <si>
    <t>Финансовая поддержка детско-юношеского и массового спорта</t>
  </si>
  <si>
    <t>03UOJ 17440</t>
  </si>
  <si>
    <t>06100 9Д180</t>
  </si>
  <si>
    <t>Расходы на ремонт и содержание автомобильных дорог</t>
  </si>
  <si>
    <t>06100 9Д000</t>
  </si>
  <si>
    <t>06Q00 9Д000</t>
  </si>
  <si>
    <t>Реализация мероприятий по устройству и (или) модернизации уличного освещения населенных пунктов</t>
  </si>
  <si>
    <t>060И4 15370</t>
  </si>
  <si>
    <t>060И4 S5370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</si>
  <si>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образовательных организаций </t>
  </si>
  <si>
    <t>010Ю650500</t>
  </si>
  <si>
    <t>Реализация мероприятий по модернизации школьных систем образования</t>
  </si>
  <si>
    <t>010Ю457500</t>
  </si>
  <si>
    <t>Капитальные вложения в объекты государственной (муниципальной) собственности</t>
  </si>
  <si>
    <t>014Ю6 51790</t>
  </si>
  <si>
    <t>04U0Y 16094</t>
  </si>
  <si>
    <t>04U0Y Д0820</t>
  </si>
  <si>
    <t>04U0YR0820</t>
  </si>
  <si>
    <t>043U0У 16090</t>
  </si>
  <si>
    <t>04U0Y 16092</t>
  </si>
  <si>
    <t>04U0Y  16094</t>
  </si>
  <si>
    <t>04U0YД0820</t>
  </si>
  <si>
    <t>04U0Y  L4970</t>
  </si>
  <si>
    <t>10U0597530</t>
  </si>
  <si>
    <t>Реализация инфрастуктурных проенктов (мероприятий) в 2025-2030 гг. в сфере жилищно-коммунального хозяйства</t>
  </si>
  <si>
    <t>Расходы на обеспечение транспортной безопасности объектов дорожного хозяйства</t>
  </si>
  <si>
    <t>06100 9Д418</t>
  </si>
  <si>
    <t xml:space="preserve">                                                                                                                                                         от 22.12.2025  № 71/440</t>
  </si>
  <si>
    <t xml:space="preserve">                                                                                                                                   от 22.12.2025  № 71/440</t>
  </si>
  <si>
    <t xml:space="preserve">                                                                                                                  от 22.12.2025  № 71/440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</si>
</sst>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0.0"/>
    <numFmt numFmtId="166" formatCode="0.00000"/>
    <numFmt numFmtId="167" formatCode="0.000"/>
  </numFmts>
  <fonts count="4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55"/>
      <name val="Calibri"/>
      <family val="2"/>
      <charset val="204"/>
    </font>
    <font>
      <sz val="11"/>
      <color indexed="14"/>
      <name val="Calibri"/>
      <family val="2"/>
      <charset val="204"/>
    </font>
    <font>
      <sz val="11"/>
      <color indexed="54"/>
      <name val="Calibri"/>
      <family val="2"/>
      <charset val="204"/>
    </font>
    <font>
      <b/>
      <sz val="11"/>
      <color indexed="55"/>
      <name val="Calibri"/>
      <family val="2"/>
      <charset val="204"/>
    </font>
    <font>
      <b/>
      <sz val="11"/>
      <color indexed="44"/>
      <name val="Calibri"/>
      <family val="2"/>
      <charset val="204"/>
    </font>
    <font>
      <sz val="11"/>
      <color indexed="55"/>
      <name val="Calibri"/>
      <family val="2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14"/>
      <name val="Calibri"/>
      <family val="2"/>
      <charset val="204"/>
    </font>
    <font>
      <b/>
      <sz val="18"/>
      <color indexed="54"/>
      <name val="Cambria"/>
      <family val="2"/>
      <charset val="204"/>
    </font>
    <font>
      <sz val="11"/>
      <color indexed="52"/>
      <name val="Calibri"/>
      <family val="2"/>
      <charset val="204"/>
    </font>
    <font>
      <sz val="11"/>
      <color indexed="12"/>
      <name val="Calibri"/>
      <family val="2"/>
      <charset val="204"/>
    </font>
    <font>
      <sz val="11"/>
      <color indexed="44"/>
      <name val="Calibri"/>
      <family val="2"/>
      <charset val="204"/>
    </font>
    <font>
      <sz val="11"/>
      <color indexed="45"/>
      <name val="Calibri"/>
      <family val="2"/>
      <charset val="204"/>
    </font>
    <font>
      <sz val="11"/>
      <color indexed="9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55"/>
      <name val="Times New Roman"/>
      <family val="1"/>
      <charset val="204"/>
    </font>
    <font>
      <sz val="14"/>
      <color indexed="5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indexed="55"/>
      <name val="Calibri"/>
      <family val="2"/>
      <charset val="1"/>
    </font>
    <font>
      <b/>
      <sz val="11"/>
      <color indexed="55"/>
      <name val="Calibri"/>
      <family val="2"/>
      <charset val="1"/>
    </font>
    <font>
      <sz val="12"/>
      <name val="Arial Cyr"/>
      <family val="2"/>
      <charset val="204"/>
    </font>
    <font>
      <b/>
      <sz val="10"/>
      <name val="Arial Cyr"/>
      <family val="2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Arial Cyr"/>
      <charset val="204"/>
    </font>
    <font>
      <b/>
      <sz val="14"/>
      <name val="Arial Cyr"/>
      <charset val="204"/>
    </font>
    <font>
      <sz val="12"/>
      <name val="Arial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14"/>
      </patternFill>
    </fill>
    <fill>
      <patternFill patternType="solid">
        <fgColor indexed="39"/>
      </patternFill>
    </fill>
    <fill>
      <patternFill patternType="solid">
        <fgColor indexed="18"/>
      </patternFill>
    </fill>
    <fill>
      <patternFill patternType="solid">
        <fgColor indexed="19"/>
      </patternFill>
    </fill>
    <fill>
      <patternFill patternType="solid">
        <fgColor indexed="21"/>
      </patternFill>
    </fill>
    <fill>
      <patternFill patternType="solid">
        <fgColor indexed="35"/>
      </patternFill>
    </fill>
    <fill>
      <patternFill patternType="solid">
        <fgColor indexed="36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9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37"/>
      </patternFill>
    </fill>
    <fill>
      <patternFill patternType="solid">
        <fgColor indexed="18"/>
        <bgColor indexed="14"/>
      </patternFill>
    </fill>
    <fill>
      <patternFill patternType="solid">
        <fgColor indexed="34"/>
      </patternFill>
    </fill>
    <fill>
      <patternFill patternType="solid">
        <fgColor rgb="FFFFFFCC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1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19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ck">
        <color indexed="41"/>
      </bottom>
      <diagonal/>
    </border>
    <border>
      <left/>
      <right/>
      <top/>
      <bottom style="thick">
        <color indexed="14"/>
      </bottom>
      <diagonal/>
    </border>
    <border>
      <left/>
      <right/>
      <top/>
      <bottom style="medium">
        <color indexed="41"/>
      </bottom>
      <diagonal/>
    </border>
    <border>
      <left/>
      <right/>
      <top style="thin">
        <color indexed="41"/>
      </top>
      <bottom style="double">
        <color indexed="41"/>
      </bottom>
      <diagonal/>
    </border>
    <border>
      <left style="double">
        <color indexed="55"/>
      </left>
      <right style="double">
        <color indexed="55"/>
      </right>
      <top style="double">
        <color indexed="55"/>
      </top>
      <bottom style="double">
        <color indexed="55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/>
      <right/>
      <top/>
      <bottom style="double">
        <color indexed="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8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9" borderId="0" applyNumberFormat="0" applyBorder="0" applyAlignment="0" applyProtection="0"/>
    <xf numFmtId="0" fontId="6" fillId="14" borderId="0" applyNumberFormat="0" applyBorder="0" applyAlignment="0" applyProtection="0"/>
    <xf numFmtId="0" fontId="7" fillId="3" borderId="1" applyNumberFormat="0" applyAlignment="0" applyProtection="0"/>
    <xf numFmtId="0" fontId="8" fillId="2" borderId="2" applyNumberFormat="0" applyAlignment="0" applyProtection="0"/>
    <xf numFmtId="0" fontId="9" fillId="2" borderId="1" applyNumberFormat="0" applyAlignment="0" applyProtection="0"/>
    <xf numFmtId="164" fontId="4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14" fillId="10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3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15" borderId="0" applyNumberFormat="0" applyBorder="0" applyAlignment="0" applyProtection="0"/>
    <xf numFmtId="0" fontId="5" fillId="16" borderId="8" applyProtection="0"/>
    <xf numFmtId="0" fontId="35" fillId="18" borderId="14" applyProtection="0"/>
    <xf numFmtId="0" fontId="5" fillId="4" borderId="8" applyNumberFormat="0" applyFont="0" applyAlignment="0" applyProtection="0"/>
    <xf numFmtId="0" fontId="5" fillId="4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17" borderId="0" applyNumberFormat="0" applyBorder="0" applyAlignment="0" applyProtection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39" fillId="0" borderId="0"/>
    <xf numFmtId="43" fontId="35" fillId="0" borderId="0" applyFont="0" applyFill="0" applyBorder="0" applyAlignment="0" applyProtection="0"/>
    <xf numFmtId="0" fontId="2" fillId="0" borderId="0"/>
    <xf numFmtId="0" fontId="1" fillId="0" borderId="0"/>
    <xf numFmtId="0" fontId="4" fillId="0" borderId="0"/>
  </cellStyleXfs>
  <cellXfs count="272">
    <xf numFmtId="0" fontId="0" fillId="0" borderId="0" xfId="0"/>
    <xf numFmtId="0" fontId="21" fillId="0" borderId="10" xfId="0" applyFont="1" applyBorder="1" applyAlignment="1">
      <alignment horizontal="center"/>
    </xf>
    <xf numFmtId="0" fontId="21" fillId="0" borderId="10" xfId="0" applyFont="1" applyBorder="1" applyAlignment="1">
      <alignment wrapText="1"/>
    </xf>
    <xf numFmtId="0" fontId="24" fillId="0" borderId="10" xfId="60" applyFont="1" applyFill="1" applyBorder="1" applyAlignment="1">
      <alignment wrapText="1"/>
    </xf>
    <xf numFmtId="0" fontId="21" fillId="0" borderId="10" xfId="0" applyFont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1" fillId="0" borderId="10" xfId="0" applyFont="1" applyBorder="1"/>
    <xf numFmtId="49" fontId="21" fillId="0" borderId="10" xfId="0" applyNumberFormat="1" applyFont="1" applyBorder="1"/>
    <xf numFmtId="49" fontId="24" fillId="0" borderId="10" xfId="60" applyNumberFormat="1" applyFont="1" applyFill="1" applyBorder="1" applyAlignment="1">
      <alignment horizontal="center"/>
    </xf>
    <xf numFmtId="0" fontId="21" fillId="0" borderId="10" xfId="60" applyFont="1" applyFill="1" applyBorder="1" applyAlignment="1">
      <alignment horizontal="center" wrapText="1"/>
    </xf>
    <xf numFmtId="49" fontId="21" fillId="0" borderId="10" xfId="60" applyNumberFormat="1" applyFont="1" applyFill="1" applyBorder="1" applyAlignment="1">
      <alignment horizontal="center"/>
    </xf>
    <xf numFmtId="49" fontId="21" fillId="0" borderId="10" xfId="0" applyNumberFormat="1" applyFont="1" applyBorder="1" applyAlignment="1">
      <alignment horizontal="center"/>
    </xf>
    <xf numFmtId="0" fontId="21" fillId="0" borderId="10" xfId="60" applyFont="1" applyFill="1" applyBorder="1" applyAlignment="1">
      <alignment wrapText="1"/>
    </xf>
    <xf numFmtId="0" fontId="21" fillId="0" borderId="10" xfId="43" applyFont="1" applyFill="1" applyBorder="1" applyAlignment="1">
      <alignment wrapText="1"/>
    </xf>
    <xf numFmtId="49" fontId="21" fillId="0" borderId="10" xfId="43" applyNumberFormat="1" applyFont="1" applyFill="1" applyBorder="1" applyAlignment="1">
      <alignment horizontal="center"/>
    </xf>
    <xf numFmtId="49" fontId="24" fillId="0" borderId="10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 wrapText="1"/>
    </xf>
    <xf numFmtId="49" fontId="24" fillId="0" borderId="10" xfId="43" applyNumberFormat="1" applyFont="1" applyFill="1" applyBorder="1" applyAlignment="1">
      <alignment horizontal="center"/>
    </xf>
    <xf numFmtId="0" fontId="21" fillId="0" borderId="10" xfId="39" applyFont="1" applyBorder="1" applyAlignment="1">
      <alignment wrapText="1"/>
    </xf>
    <xf numFmtId="49" fontId="21" fillId="0" borderId="10" xfId="39" applyNumberFormat="1" applyFont="1" applyBorder="1" applyAlignment="1">
      <alignment horizontal="center"/>
    </xf>
    <xf numFmtId="11" fontId="21" fillId="0" borderId="10" xfId="0" applyNumberFormat="1" applyFont="1" applyFill="1" applyBorder="1" applyAlignment="1">
      <alignment vertical="top" wrapText="1"/>
    </xf>
    <xf numFmtId="49" fontId="21" fillId="0" borderId="10" xfId="0" applyNumberFormat="1" applyFont="1" applyFill="1" applyBorder="1" applyAlignment="1">
      <alignment horizontal="center"/>
    </xf>
    <xf numFmtId="0" fontId="35" fillId="0" borderId="0" xfId="38"/>
    <xf numFmtId="0" fontId="29" fillId="0" borderId="0" xfId="61" applyFont="1" applyFill="1" applyBorder="1"/>
    <xf numFmtId="0" fontId="29" fillId="0" borderId="0" xfId="61" applyFont="1" applyFill="1" applyBorder="1" applyAlignment="1">
      <alignment wrapText="1"/>
    </xf>
    <xf numFmtId="11" fontId="24" fillId="0" borderId="10" xfId="61" applyNumberFormat="1" applyFont="1" applyFill="1" applyBorder="1" applyAlignment="1">
      <alignment wrapText="1"/>
    </xf>
    <xf numFmtId="49" fontId="24" fillId="0" borderId="10" xfId="61" applyNumberFormat="1" applyFont="1" applyFill="1" applyBorder="1" applyAlignment="1">
      <alignment horizontal="center"/>
    </xf>
    <xf numFmtId="0" fontId="30" fillId="0" borderId="0" xfId="61" applyFont="1" applyFill="1" applyBorder="1"/>
    <xf numFmtId="165" fontId="30" fillId="0" borderId="0" xfId="61" applyNumberFormat="1" applyFont="1" applyFill="1" applyBorder="1"/>
    <xf numFmtId="49" fontId="21" fillId="0" borderId="10" xfId="61" applyNumberFormat="1" applyFont="1" applyFill="1" applyBorder="1" applyAlignment="1">
      <alignment horizontal="center"/>
    </xf>
    <xf numFmtId="165" fontId="21" fillId="0" borderId="10" xfId="38" applyNumberFormat="1" applyFont="1" applyBorder="1"/>
    <xf numFmtId="165" fontId="21" fillId="0" borderId="10" xfId="61" applyNumberFormat="1" applyFont="1" applyFill="1" applyBorder="1"/>
    <xf numFmtId="165" fontId="35" fillId="0" borderId="0" xfId="38" applyNumberFormat="1"/>
    <xf numFmtId="0" fontId="21" fillId="0" borderId="10" xfId="61" applyFont="1" applyFill="1" applyBorder="1" applyAlignment="1">
      <alignment wrapText="1"/>
    </xf>
    <xf numFmtId="0" fontId="21" fillId="0" borderId="10" xfId="61" applyFont="1" applyFill="1" applyBorder="1" applyAlignment="1">
      <alignment horizontal="center" wrapText="1"/>
    </xf>
    <xf numFmtId="0" fontId="31" fillId="0" borderId="0" xfId="61" applyFont="1" applyFill="1" applyBorder="1"/>
    <xf numFmtId="11" fontId="21" fillId="0" borderId="10" xfId="38" applyNumberFormat="1" applyFont="1" applyBorder="1" applyAlignment="1">
      <alignment vertical="top" wrapText="1"/>
    </xf>
    <xf numFmtId="0" fontId="21" fillId="0" borderId="11" xfId="61" applyFont="1" applyFill="1" applyBorder="1" applyAlignment="1">
      <alignment wrapText="1"/>
    </xf>
    <xf numFmtId="11" fontId="21" fillId="0" borderId="11" xfId="61" applyNumberFormat="1" applyFont="1" applyFill="1" applyBorder="1" applyAlignment="1">
      <alignment wrapText="1"/>
    </xf>
    <xf numFmtId="0" fontId="32" fillId="0" borderId="0" xfId="61" applyFont="1" applyFill="1" applyBorder="1"/>
    <xf numFmtId="0" fontId="21" fillId="0" borderId="10" xfId="61" applyFont="1" applyFill="1" applyBorder="1" applyAlignment="1"/>
    <xf numFmtId="0" fontId="21" fillId="0" borderId="10" xfId="61" applyFont="1" applyFill="1" applyBorder="1" applyAlignment="1">
      <alignment horizontal="center"/>
    </xf>
    <xf numFmtId="11" fontId="21" fillId="0" borderId="10" xfId="0" applyNumberFormat="1" applyFont="1" applyBorder="1" applyAlignment="1">
      <alignment horizontal="left" vertical="top" wrapText="1"/>
    </xf>
    <xf numFmtId="0" fontId="24" fillId="0" borderId="10" xfId="0" applyFont="1" applyBorder="1" applyAlignment="1">
      <alignment horizontal="justify"/>
    </xf>
    <xf numFmtId="11" fontId="21" fillId="0" borderId="10" xfId="56" applyNumberFormat="1" applyFont="1" applyFill="1" applyBorder="1" applyAlignment="1">
      <alignment vertical="top" wrapText="1"/>
    </xf>
    <xf numFmtId="0" fontId="22" fillId="0" borderId="0" xfId="0" applyFont="1" applyBorder="1"/>
    <xf numFmtId="49" fontId="22" fillId="0" borderId="0" xfId="0" applyNumberFormat="1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0" fillId="0" borderId="0" xfId="0" applyBorder="1"/>
    <xf numFmtId="49" fontId="34" fillId="0" borderId="10" xfId="0" applyNumberFormat="1" applyFont="1" applyBorder="1" applyAlignment="1">
      <alignment horizontal="center"/>
    </xf>
    <xf numFmtId="49" fontId="34" fillId="0" borderId="10" xfId="60" applyNumberFormat="1" applyFont="1" applyFill="1" applyBorder="1" applyAlignment="1">
      <alignment horizontal="center"/>
    </xf>
    <xf numFmtId="0" fontId="34" fillId="0" borderId="10" xfId="0" applyFont="1" applyBorder="1" applyAlignment="1">
      <alignment horizontal="left" wrapText="1"/>
    </xf>
    <xf numFmtId="49" fontId="34" fillId="0" borderId="10" xfId="39" applyNumberFormat="1" applyFont="1" applyBorder="1" applyAlignment="1">
      <alignment horizontal="center"/>
    </xf>
    <xf numFmtId="0" fontId="34" fillId="0" borderId="10" xfId="0" applyFont="1" applyBorder="1" applyAlignment="1">
      <alignment horizontal="justify"/>
    </xf>
    <xf numFmtId="0" fontId="34" fillId="0" borderId="10" xfId="0" applyFont="1" applyBorder="1" applyAlignment="1">
      <alignment wrapText="1"/>
    </xf>
    <xf numFmtId="49" fontId="34" fillId="0" borderId="10" xfId="43" applyNumberFormat="1" applyFont="1" applyFill="1" applyBorder="1" applyAlignment="1">
      <alignment horizontal="center"/>
    </xf>
    <xf numFmtId="0" fontId="34" fillId="0" borderId="10" xfId="0" applyFont="1" applyBorder="1"/>
    <xf numFmtId="11" fontId="23" fillId="0" borderId="10" xfId="60" applyNumberFormat="1" applyFont="1" applyFill="1" applyBorder="1" applyAlignment="1">
      <alignment wrapText="1"/>
    </xf>
    <xf numFmtId="49" fontId="25" fillId="0" borderId="10" xfId="60" applyNumberFormat="1" applyFont="1" applyFill="1" applyBorder="1" applyAlignment="1">
      <alignment horizontal="center"/>
    </xf>
    <xf numFmtId="11" fontId="21" fillId="0" borderId="10" xfId="0" applyNumberFormat="1" applyFont="1" applyBorder="1" applyAlignment="1">
      <alignment vertical="top" wrapText="1"/>
    </xf>
    <xf numFmtId="49" fontId="21" fillId="0" borderId="10" xfId="0" applyNumberFormat="1" applyFont="1" applyBorder="1" applyAlignment="1">
      <alignment horizontal="center" vertical="top"/>
    </xf>
    <xf numFmtId="49" fontId="26" fillId="0" borderId="10" xfId="61" applyNumberFormat="1" applyFont="1" applyFill="1" applyBorder="1" applyAlignment="1">
      <alignment horizontal="center" wrapText="1"/>
    </xf>
    <xf numFmtId="0" fontId="33" fillId="0" borderId="10" xfId="0" applyFont="1" applyFill="1" applyBorder="1" applyAlignment="1">
      <alignment wrapText="1"/>
    </xf>
    <xf numFmtId="49" fontId="24" fillId="0" borderId="10" xfId="0" applyNumberFormat="1" applyFont="1" applyFill="1" applyBorder="1" applyAlignment="1">
      <alignment horizontal="center"/>
    </xf>
    <xf numFmtId="0" fontId="21" fillId="0" borderId="10" xfId="0" applyFont="1" applyFill="1" applyBorder="1" applyAlignment="1">
      <alignment wrapText="1"/>
    </xf>
    <xf numFmtId="49" fontId="34" fillId="0" borderId="10" xfId="0" applyNumberFormat="1" applyFont="1" applyBorder="1" applyAlignment="1"/>
    <xf numFmtId="0" fontId="34" fillId="0" borderId="10" xfId="61" applyFont="1" applyFill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0" fontId="21" fillId="0" borderId="10" xfId="60" applyFont="1" applyFill="1" applyBorder="1" applyAlignment="1">
      <alignment vertical="top" wrapText="1"/>
    </xf>
    <xf numFmtId="11" fontId="21" fillId="0" borderId="12" xfId="39" applyNumberFormat="1" applyFont="1" applyFill="1" applyBorder="1" applyAlignment="1">
      <alignment wrapText="1"/>
    </xf>
    <xf numFmtId="11" fontId="21" fillId="0" borderId="12" xfId="39" applyNumberFormat="1" applyFont="1" applyFill="1" applyBorder="1" applyAlignment="1">
      <alignment horizontal="left" wrapText="1"/>
    </xf>
    <xf numFmtId="49" fontId="21" fillId="0" borderId="10" xfId="0" applyNumberFormat="1" applyFont="1" applyBorder="1" applyAlignment="1"/>
    <xf numFmtId="2" fontId="0" fillId="0" borderId="0" xfId="0" applyNumberFormat="1"/>
    <xf numFmtId="2" fontId="24" fillId="0" borderId="15" xfId="0" applyNumberFormat="1" applyFont="1" applyFill="1" applyBorder="1"/>
    <xf numFmtId="165" fontId="21" fillId="20" borderId="10" xfId="0" applyNumberFormat="1" applyFont="1" applyFill="1" applyBorder="1"/>
    <xf numFmtId="49" fontId="0" fillId="0" borderId="0" xfId="0" applyNumberFormat="1"/>
    <xf numFmtId="0" fontId="21" fillId="19" borderId="10" xfId="60" applyFont="1" applyFill="1" applyBorder="1" applyAlignment="1">
      <alignment wrapText="1"/>
    </xf>
    <xf numFmtId="49" fontId="21" fillId="19" borderId="10" xfId="60" applyNumberFormat="1" applyFont="1" applyFill="1" applyBorder="1" applyAlignment="1">
      <alignment horizontal="center"/>
    </xf>
    <xf numFmtId="11" fontId="21" fillId="0" borderId="10" xfId="61" applyNumberFormat="1" applyFont="1" applyFill="1" applyBorder="1" applyAlignment="1">
      <alignment wrapText="1"/>
    </xf>
    <xf numFmtId="49" fontId="21" fillId="0" borderId="10" xfId="61" applyNumberFormat="1" applyFont="1" applyFill="1" applyBorder="1" applyAlignment="1">
      <alignment horizontal="center" wrapText="1"/>
    </xf>
    <xf numFmtId="0" fontId="21" fillId="19" borderId="10" xfId="0" applyFont="1" applyFill="1" applyBorder="1" applyAlignment="1">
      <alignment wrapText="1"/>
    </xf>
    <xf numFmtId="49" fontId="36" fillId="0" borderId="10" xfId="0" applyNumberFormat="1" applyFont="1" applyFill="1" applyBorder="1" applyAlignment="1">
      <alignment horizontal="center"/>
    </xf>
    <xf numFmtId="0" fontId="34" fillId="0" borderId="10" xfId="60" applyFont="1" applyFill="1" applyBorder="1" applyAlignment="1">
      <alignment wrapText="1"/>
    </xf>
    <xf numFmtId="11" fontId="36" fillId="0" borderId="10" xfId="67" applyNumberFormat="1" applyFont="1" applyBorder="1" applyAlignment="1">
      <alignment wrapText="1"/>
    </xf>
    <xf numFmtId="11" fontId="36" fillId="0" borderId="10" xfId="77" applyNumberFormat="1" applyFont="1" applyBorder="1" applyAlignment="1">
      <alignment wrapText="1"/>
    </xf>
    <xf numFmtId="11" fontId="36" fillId="0" borderId="10" xfId="73" applyNumberFormat="1" applyFont="1" applyBorder="1" applyAlignment="1">
      <alignment vertical="top" wrapText="1"/>
    </xf>
    <xf numFmtId="11" fontId="36" fillId="0" borderId="10" xfId="75" applyNumberFormat="1" applyFont="1" applyBorder="1" applyAlignment="1">
      <alignment wrapText="1"/>
    </xf>
    <xf numFmtId="11" fontId="21" fillId="0" borderId="12" xfId="68" applyNumberFormat="1" applyFont="1" applyFill="1" applyBorder="1" applyAlignment="1">
      <alignment wrapText="1"/>
    </xf>
    <xf numFmtId="11" fontId="36" fillId="0" borderId="10" xfId="0" applyNumberFormat="1" applyFont="1" applyBorder="1" applyAlignment="1">
      <alignment vertical="top" wrapText="1"/>
    </xf>
    <xf numFmtId="0" fontId="38" fillId="0" borderId="0" xfId="0" applyFont="1" applyAlignment="1">
      <alignment wrapText="1"/>
    </xf>
    <xf numFmtId="0" fontId="38" fillId="0" borderId="10" xfId="0" applyFont="1" applyBorder="1" applyAlignment="1">
      <alignment wrapText="1"/>
    </xf>
    <xf numFmtId="49" fontId="21" fillId="20" borderId="10" xfId="60" applyNumberFormat="1" applyFont="1" applyFill="1" applyBorder="1" applyAlignment="1">
      <alignment horizontal="center"/>
    </xf>
    <xf numFmtId="165" fontId="21" fillId="20" borderId="10" xfId="0" applyNumberFormat="1" applyFont="1" applyFill="1" applyBorder="1" applyAlignment="1">
      <alignment wrapText="1"/>
    </xf>
    <xf numFmtId="165" fontId="24" fillId="20" borderId="10" xfId="0" applyNumberFormat="1" applyFont="1" applyFill="1" applyBorder="1"/>
    <xf numFmtId="165" fontId="34" fillId="20" borderId="10" xfId="0" applyNumberFormat="1" applyFont="1" applyFill="1" applyBorder="1"/>
    <xf numFmtId="165" fontId="21" fillId="20" borderId="10" xfId="0" applyNumberFormat="1" applyFont="1" applyFill="1" applyBorder="1" applyAlignment="1">
      <alignment horizontal="right"/>
    </xf>
    <xf numFmtId="0" fontId="21" fillId="20" borderId="10" xfId="0" applyFont="1" applyFill="1" applyBorder="1"/>
    <xf numFmtId="49" fontId="36" fillId="0" borderId="10" xfId="0" applyNumberFormat="1" applyFont="1" applyBorder="1" applyAlignment="1">
      <alignment horizontal="center"/>
    </xf>
    <xf numFmtId="11" fontId="36" fillId="0" borderId="10" xfId="83" applyNumberFormat="1" applyFont="1" applyBorder="1" applyAlignment="1">
      <alignment vertical="top" wrapText="1"/>
    </xf>
    <xf numFmtId="11" fontId="36" fillId="0" borderId="10" xfId="83" applyNumberFormat="1" applyFont="1" applyBorder="1" applyAlignment="1">
      <alignment wrapText="1"/>
    </xf>
    <xf numFmtId="0" fontId="21" fillId="20" borderId="0" xfId="0" applyFont="1" applyFill="1"/>
    <xf numFmtId="0" fontId="37" fillId="20" borderId="0" xfId="0" applyFont="1" applyFill="1"/>
    <xf numFmtId="2" fontId="21" fillId="20" borderId="0" xfId="0" applyNumberFormat="1" applyFont="1" applyFill="1"/>
    <xf numFmtId="166" fontId="21" fillId="20" borderId="0" xfId="0" applyNumberFormat="1" applyFont="1" applyFill="1"/>
    <xf numFmtId="11" fontId="21" fillId="20" borderId="10" xfId="60" applyNumberFormat="1" applyFont="1" applyFill="1" applyBorder="1" applyAlignment="1">
      <alignment horizontal="center" wrapText="1"/>
    </xf>
    <xf numFmtId="49" fontId="21" fillId="20" borderId="10" xfId="60" applyNumberFormat="1" applyFont="1" applyFill="1" applyBorder="1" applyAlignment="1">
      <alignment horizontal="center" wrapText="1"/>
    </xf>
    <xf numFmtId="165" fontId="21" fillId="20" borderId="10" xfId="60" applyNumberFormat="1" applyFont="1" applyFill="1" applyBorder="1" applyAlignment="1">
      <alignment horizontal="center" vertical="center" wrapText="1"/>
    </xf>
    <xf numFmtId="49" fontId="21" fillId="20" borderId="16" xfId="60" applyNumberFormat="1" applyFont="1" applyFill="1" applyBorder="1" applyAlignment="1">
      <alignment horizontal="center" wrapText="1"/>
    </xf>
    <xf numFmtId="0" fontId="21" fillId="20" borderId="0" xfId="0" applyFont="1" applyFill="1" applyAlignment="1">
      <alignment horizontal="center" wrapText="1"/>
    </xf>
    <xf numFmtId="0" fontId="21" fillId="20" borderId="0" xfId="0" applyFont="1" applyFill="1" applyAlignment="1">
      <alignment horizontal="center"/>
    </xf>
    <xf numFmtId="1" fontId="21" fillId="20" borderId="0" xfId="0" applyNumberFormat="1" applyFont="1" applyFill="1" applyAlignment="1">
      <alignment horizontal="center"/>
    </xf>
    <xf numFmtId="166" fontId="21" fillId="20" borderId="0" xfId="0" applyNumberFormat="1" applyFont="1" applyFill="1" applyAlignment="1">
      <alignment horizontal="center"/>
    </xf>
    <xf numFmtId="0" fontId="40" fillId="20" borderId="17" xfId="0" applyFont="1" applyFill="1" applyBorder="1" applyAlignment="1">
      <alignment horizontal="center"/>
    </xf>
    <xf numFmtId="11" fontId="24" fillId="20" borderId="10" xfId="60" applyNumberFormat="1" applyFont="1" applyFill="1" applyBorder="1" applyAlignment="1">
      <alignment wrapText="1"/>
    </xf>
    <xf numFmtId="49" fontId="24" fillId="20" borderId="10" xfId="60" applyNumberFormat="1" applyFont="1" applyFill="1" applyBorder="1" applyAlignment="1">
      <alignment horizontal="center"/>
    </xf>
    <xf numFmtId="0" fontId="24" fillId="21" borderId="10" xfId="60" applyFont="1" applyFill="1" applyBorder="1" applyAlignment="1">
      <alignment horizontal="center" wrapText="1"/>
    </xf>
    <xf numFmtId="49" fontId="24" fillId="21" borderId="10" xfId="60" applyNumberFormat="1" applyFont="1" applyFill="1" applyBorder="1" applyAlignment="1">
      <alignment horizontal="center" wrapText="1"/>
    </xf>
    <xf numFmtId="49" fontId="24" fillId="21" borderId="10" xfId="60" applyNumberFormat="1" applyFont="1" applyFill="1" applyBorder="1" applyAlignment="1">
      <alignment horizontal="center"/>
    </xf>
    <xf numFmtId="0" fontId="24" fillId="20" borderId="10" xfId="60" applyFont="1" applyFill="1" applyBorder="1" applyAlignment="1">
      <alignment horizontal="center" wrapText="1"/>
    </xf>
    <xf numFmtId="0" fontId="24" fillId="20" borderId="10" xfId="60" applyFont="1" applyFill="1" applyBorder="1" applyAlignment="1">
      <alignment wrapText="1"/>
    </xf>
    <xf numFmtId="49" fontId="24" fillId="20" borderId="10" xfId="60" applyNumberFormat="1" applyFont="1" applyFill="1" applyBorder="1" applyAlignment="1">
      <alignment horizontal="center" wrapText="1"/>
    </xf>
    <xf numFmtId="0" fontId="21" fillId="20" borderId="10" xfId="0" applyFont="1" applyFill="1" applyBorder="1" applyAlignment="1">
      <alignment horizontal="left" wrapText="1"/>
    </xf>
    <xf numFmtId="0" fontId="21" fillId="20" borderId="10" xfId="60" applyFont="1" applyFill="1" applyBorder="1" applyAlignment="1">
      <alignment horizontal="center" wrapText="1"/>
    </xf>
    <xf numFmtId="49" fontId="21" fillId="20" borderId="10" xfId="0" applyNumberFormat="1" applyFont="1" applyFill="1" applyBorder="1" applyAlignment="1">
      <alignment horizontal="center"/>
    </xf>
    <xf numFmtId="0" fontId="21" fillId="20" borderId="10" xfId="60" applyFont="1" applyFill="1" applyBorder="1" applyAlignment="1">
      <alignment wrapText="1"/>
    </xf>
    <xf numFmtId="0" fontId="21" fillId="20" borderId="10" xfId="0" applyFont="1" applyFill="1" applyBorder="1" applyAlignment="1">
      <alignment wrapText="1"/>
    </xf>
    <xf numFmtId="11" fontId="21" fillId="20" borderId="10" xfId="61" applyNumberFormat="1" applyFont="1" applyFill="1" applyBorder="1" applyAlignment="1">
      <alignment wrapText="1"/>
    </xf>
    <xf numFmtId="0" fontId="21" fillId="20" borderId="10" xfId="61" applyFont="1" applyFill="1" applyBorder="1" applyAlignment="1">
      <alignment horizontal="center" wrapText="1"/>
    </xf>
    <xf numFmtId="49" fontId="21" fillId="20" borderId="10" xfId="61" applyNumberFormat="1" applyFont="1" applyFill="1" applyBorder="1" applyAlignment="1">
      <alignment horizontal="center"/>
    </xf>
    <xf numFmtId="49" fontId="21" fillId="20" borderId="11" xfId="61" applyNumberFormat="1" applyFont="1" applyFill="1" applyBorder="1" applyAlignment="1">
      <alignment horizontal="center"/>
    </xf>
    <xf numFmtId="0" fontId="21" fillId="20" borderId="10" xfId="61" applyFont="1" applyFill="1" applyBorder="1" applyAlignment="1">
      <alignment wrapText="1"/>
    </xf>
    <xf numFmtId="0" fontId="21" fillId="20" borderId="10" xfId="60" applyFont="1" applyFill="1" applyBorder="1" applyAlignment="1">
      <alignment horizontal="left" wrapText="1"/>
    </xf>
    <xf numFmtId="11" fontId="21" fillId="20" borderId="12" xfId="39" applyNumberFormat="1" applyFont="1" applyFill="1" applyBorder="1" applyAlignment="1">
      <alignment wrapText="1"/>
    </xf>
    <xf numFmtId="0" fontId="21" fillId="20" borderId="0" xfId="0" applyFont="1" applyFill="1" applyBorder="1"/>
    <xf numFmtId="0" fontId="41" fillId="20" borderId="0" xfId="0" applyFont="1" applyFill="1" applyBorder="1"/>
    <xf numFmtId="11" fontId="36" fillId="20" borderId="10" xfId="0" applyNumberFormat="1" applyFont="1" applyFill="1" applyBorder="1" applyAlignment="1">
      <alignment vertical="top" wrapText="1"/>
    </xf>
    <xf numFmtId="165" fontId="24" fillId="20" borderId="0" xfId="0" applyNumberFormat="1" applyFont="1" applyFill="1" applyBorder="1"/>
    <xf numFmtId="0" fontId="21" fillId="20" borderId="10" xfId="43" applyFont="1" applyFill="1" applyBorder="1" applyAlignment="1">
      <alignment wrapText="1"/>
    </xf>
    <xf numFmtId="49" fontId="21" fillId="20" borderId="10" xfId="43" applyNumberFormat="1" applyFont="1" applyFill="1" applyBorder="1" applyAlignment="1">
      <alignment horizontal="center"/>
    </xf>
    <xf numFmtId="0" fontId="21" fillId="20" borderId="10" xfId="39" applyFont="1" applyFill="1" applyBorder="1" applyAlignment="1">
      <alignment wrapText="1"/>
    </xf>
    <xf numFmtId="49" fontId="21" fillId="20" borderId="10" xfId="39" applyNumberFormat="1" applyFont="1" applyFill="1" applyBorder="1" applyAlignment="1">
      <alignment horizontal="center"/>
    </xf>
    <xf numFmtId="11" fontId="36" fillId="20" borderId="10" xfId="83" applyNumberFormat="1" applyFont="1" applyFill="1" applyBorder="1" applyAlignment="1">
      <alignment vertical="top" wrapText="1"/>
    </xf>
    <xf numFmtId="165" fontId="21" fillId="20" borderId="10" xfId="60" applyNumberFormat="1" applyFont="1" applyFill="1" applyBorder="1" applyAlignment="1">
      <alignment horizontal="right"/>
    </xf>
    <xf numFmtId="165" fontId="21" fillId="20" borderId="10" xfId="60" applyNumberFormat="1" applyFont="1" applyFill="1" applyBorder="1" applyAlignment="1"/>
    <xf numFmtId="165" fontId="21" fillId="20" borderId="10" xfId="60" applyNumberFormat="1" applyFont="1" applyFill="1" applyBorder="1"/>
    <xf numFmtId="0" fontId="24" fillId="20" borderId="10" xfId="60" applyFont="1" applyFill="1" applyBorder="1" applyAlignment="1"/>
    <xf numFmtId="0" fontId="24" fillId="20" borderId="10" xfId="60" applyFont="1" applyFill="1" applyBorder="1" applyAlignment="1">
      <alignment horizontal="center"/>
    </xf>
    <xf numFmtId="0" fontId="24" fillId="20" borderId="10" xfId="60" applyFont="1" applyFill="1" applyBorder="1" applyAlignment="1">
      <alignment horizontal="left" wrapText="1"/>
    </xf>
    <xf numFmtId="0" fontId="24" fillId="20" borderId="10" xfId="61" applyFont="1" applyFill="1" applyBorder="1" applyAlignment="1">
      <alignment horizontal="center" wrapText="1"/>
    </xf>
    <xf numFmtId="49" fontId="24" fillId="20" borderId="10" xfId="61" applyNumberFormat="1" applyFont="1" applyFill="1" applyBorder="1" applyAlignment="1">
      <alignment horizontal="center"/>
    </xf>
    <xf numFmtId="49" fontId="25" fillId="20" borderId="10" xfId="61" applyNumberFormat="1" applyFont="1" applyFill="1" applyBorder="1" applyAlignment="1">
      <alignment horizontal="center" wrapText="1"/>
    </xf>
    <xf numFmtId="49" fontId="24" fillId="20" borderId="11" xfId="61" applyNumberFormat="1" applyFont="1" applyFill="1" applyBorder="1" applyAlignment="1">
      <alignment horizontal="center"/>
    </xf>
    <xf numFmtId="49" fontId="26" fillId="20" borderId="10" xfId="61" applyNumberFormat="1" applyFont="1" applyFill="1" applyBorder="1" applyAlignment="1">
      <alignment horizontal="center" wrapText="1"/>
    </xf>
    <xf numFmtId="11" fontId="24" fillId="20" borderId="11" xfId="61" applyNumberFormat="1" applyFont="1" applyFill="1" applyBorder="1" applyAlignment="1">
      <alignment wrapText="1"/>
    </xf>
    <xf numFmtId="49" fontId="24" fillId="20" borderId="10" xfId="61" applyNumberFormat="1" applyFont="1" applyFill="1" applyBorder="1" applyAlignment="1">
      <alignment horizontal="center" wrapText="1"/>
    </xf>
    <xf numFmtId="49" fontId="21" fillId="20" borderId="10" xfId="61" applyNumberFormat="1" applyFont="1" applyFill="1" applyBorder="1" applyAlignment="1">
      <alignment horizontal="center" wrapText="1"/>
    </xf>
    <xf numFmtId="0" fontId="21" fillId="20" borderId="10" xfId="60" applyFont="1" applyFill="1" applyBorder="1" applyAlignment="1">
      <alignment horizontal="center"/>
    </xf>
    <xf numFmtId="49" fontId="21" fillId="20" borderId="10" xfId="0" applyNumberFormat="1" applyFont="1" applyFill="1" applyBorder="1"/>
    <xf numFmtId="11" fontId="24" fillId="20" borderId="10" xfId="56" applyNumberFormat="1" applyFont="1" applyFill="1" applyBorder="1" applyAlignment="1">
      <alignment vertical="top" wrapText="1"/>
    </xf>
    <xf numFmtId="0" fontId="24" fillId="20" borderId="10" xfId="47" applyFont="1" applyFill="1" applyBorder="1" applyAlignment="1">
      <alignment horizontal="center" wrapText="1"/>
    </xf>
    <xf numFmtId="49" fontId="24" fillId="20" borderId="10" xfId="47" applyNumberFormat="1" applyFont="1" applyFill="1" applyBorder="1" applyAlignment="1">
      <alignment horizontal="center"/>
    </xf>
    <xf numFmtId="49" fontId="24" fillId="20" borderId="10" xfId="43" applyNumberFormat="1" applyFont="1" applyFill="1" applyBorder="1" applyAlignment="1">
      <alignment horizontal="center"/>
    </xf>
    <xf numFmtId="0" fontId="21" fillId="20" borderId="10" xfId="47" applyFont="1" applyFill="1" applyBorder="1" applyAlignment="1">
      <alignment horizontal="center" wrapText="1"/>
    </xf>
    <xf numFmtId="49" fontId="21" fillId="20" borderId="10" xfId="47" applyNumberFormat="1" applyFont="1" applyFill="1" applyBorder="1" applyAlignment="1">
      <alignment horizontal="center"/>
    </xf>
    <xf numFmtId="11" fontId="21" fillId="20" borderId="10" xfId="56" applyNumberFormat="1" applyFont="1" applyFill="1" applyBorder="1" applyAlignment="1">
      <alignment vertical="top" wrapText="1"/>
    </xf>
    <xf numFmtId="0" fontId="21" fillId="20" borderId="10" xfId="60" applyFont="1" applyFill="1" applyBorder="1" applyAlignment="1">
      <alignment vertical="top" wrapText="1"/>
    </xf>
    <xf numFmtId="0" fontId="33" fillId="20" borderId="10" xfId="0" applyFont="1" applyFill="1" applyBorder="1" applyAlignment="1">
      <alignment wrapText="1"/>
    </xf>
    <xf numFmtId="0" fontId="21" fillId="20" borderId="10" xfId="0" applyFont="1" applyFill="1" applyBorder="1" applyAlignment="1">
      <alignment horizontal="justify"/>
    </xf>
    <xf numFmtId="11" fontId="37" fillId="20" borderId="10" xfId="73" applyNumberFormat="1" applyFont="1" applyFill="1" applyBorder="1" applyAlignment="1">
      <alignment vertical="top" wrapText="1"/>
    </xf>
    <xf numFmtId="11" fontId="24" fillId="20" borderId="10" xfId="0" applyNumberFormat="1" applyFont="1" applyFill="1" applyBorder="1" applyAlignment="1">
      <alignment vertical="top" wrapText="1"/>
    </xf>
    <xf numFmtId="0" fontId="24" fillId="20" borderId="10" xfId="61" applyFont="1" applyFill="1" applyBorder="1" applyAlignment="1">
      <alignment wrapText="1"/>
    </xf>
    <xf numFmtId="0" fontId="21" fillId="20" borderId="12" xfId="60" applyFont="1" applyFill="1" applyBorder="1" applyAlignment="1">
      <alignment horizontal="center" wrapText="1"/>
    </xf>
    <xf numFmtId="11" fontId="21" fillId="20" borderId="10" xfId="0" applyNumberFormat="1" applyFont="1" applyFill="1" applyBorder="1" applyAlignment="1">
      <alignment horizontal="left" vertical="top" wrapText="1"/>
    </xf>
    <xf numFmtId="0" fontId="21" fillId="20" borderId="12" xfId="61" applyFont="1" applyFill="1" applyBorder="1" applyAlignment="1">
      <alignment horizontal="center" wrapText="1"/>
    </xf>
    <xf numFmtId="49" fontId="21" fillId="20" borderId="10" xfId="47" applyNumberFormat="1" applyFont="1" applyFill="1" applyBorder="1" applyAlignment="1">
      <alignment horizontal="center" wrapText="1"/>
    </xf>
    <xf numFmtId="0" fontId="21" fillId="20" borderId="10" xfId="0" applyFont="1" applyFill="1" applyBorder="1" applyAlignment="1">
      <alignment horizontal="center"/>
    </xf>
    <xf numFmtId="49" fontId="36" fillId="20" borderId="10" xfId="0" applyNumberFormat="1" applyFont="1" applyFill="1" applyBorder="1" applyAlignment="1">
      <alignment horizontal="center"/>
    </xf>
    <xf numFmtId="11" fontId="21" fillId="20" borderId="12" xfId="68" applyNumberFormat="1" applyFont="1" applyFill="1" applyBorder="1" applyAlignment="1">
      <alignment wrapText="1"/>
    </xf>
    <xf numFmtId="0" fontId="38" fillId="20" borderId="0" xfId="0" applyFont="1" applyFill="1" applyAlignment="1">
      <alignment wrapText="1"/>
    </xf>
    <xf numFmtId="165" fontId="21" fillId="20" borderId="0" xfId="0" applyNumberFormat="1" applyFont="1" applyFill="1" applyBorder="1"/>
    <xf numFmtId="11" fontId="37" fillId="20" borderId="10" xfId="75" applyNumberFormat="1" applyFont="1" applyFill="1" applyBorder="1" applyAlignment="1">
      <alignment wrapText="1"/>
    </xf>
    <xf numFmtId="0" fontId="24" fillId="20" borderId="12" xfId="61" applyFont="1" applyFill="1" applyBorder="1" applyAlignment="1">
      <alignment horizontal="center" wrapText="1"/>
    </xf>
    <xf numFmtId="11" fontId="36" fillId="20" borderId="10" xfId="77" applyNumberFormat="1" applyFont="1" applyFill="1" applyBorder="1" applyAlignment="1">
      <alignment wrapText="1"/>
    </xf>
    <xf numFmtId="0" fontId="24" fillId="20" borderId="12" xfId="60" applyFont="1" applyFill="1" applyBorder="1" applyAlignment="1">
      <alignment horizontal="center" wrapText="1"/>
    </xf>
    <xf numFmtId="49" fontId="24" fillId="20" borderId="12" xfId="60" applyNumberFormat="1" applyFont="1" applyFill="1" applyBorder="1" applyAlignment="1">
      <alignment horizontal="center"/>
    </xf>
    <xf numFmtId="49" fontId="21" fillId="20" borderId="12" xfId="60" applyNumberFormat="1" applyFont="1" applyFill="1" applyBorder="1" applyAlignment="1">
      <alignment horizontal="center"/>
    </xf>
    <xf numFmtId="0" fontId="38" fillId="20" borderId="10" xfId="0" applyFont="1" applyFill="1" applyBorder="1"/>
    <xf numFmtId="0" fontId="38" fillId="20" borderId="10" xfId="0" applyFont="1" applyFill="1" applyBorder="1" applyAlignment="1">
      <alignment wrapText="1"/>
    </xf>
    <xf numFmtId="11" fontId="36" fillId="20" borderId="10" xfId="71" applyNumberFormat="1" applyFont="1" applyFill="1" applyBorder="1" applyAlignment="1">
      <alignment wrapText="1"/>
    </xf>
    <xf numFmtId="11" fontId="36" fillId="20" borderId="10" xfId="67" applyNumberFormat="1" applyFont="1" applyFill="1" applyBorder="1" applyAlignment="1">
      <alignment wrapText="1"/>
    </xf>
    <xf numFmtId="11" fontId="24" fillId="20" borderId="10" xfId="61" applyNumberFormat="1" applyFont="1" applyFill="1" applyBorder="1" applyAlignment="1">
      <alignment wrapText="1"/>
    </xf>
    <xf numFmtId="49" fontId="21" fillId="20" borderId="0" xfId="0" applyNumberFormat="1" applyFont="1" applyFill="1"/>
    <xf numFmtId="165" fontId="21" fillId="20" borderId="0" xfId="0" applyNumberFormat="1" applyFont="1" applyFill="1"/>
    <xf numFmtId="49" fontId="21" fillId="20" borderId="0" xfId="0" applyNumberFormat="1" applyFont="1" applyFill="1" applyAlignment="1"/>
    <xf numFmtId="0" fontId="21" fillId="20" borderId="11" xfId="60" applyFont="1" applyFill="1" applyBorder="1" applyAlignment="1">
      <alignment wrapText="1"/>
    </xf>
    <xf numFmtId="49" fontId="24" fillId="20" borderId="10" xfId="0" applyNumberFormat="1" applyFont="1" applyFill="1" applyBorder="1" applyAlignment="1">
      <alignment horizontal="center"/>
    </xf>
    <xf numFmtId="0" fontId="24" fillId="20" borderId="10" xfId="0" applyFont="1" applyFill="1" applyBorder="1" applyAlignment="1">
      <alignment horizontal="left" wrapText="1"/>
    </xf>
    <xf numFmtId="0" fontId="24" fillId="20" borderId="10" xfId="0" applyFont="1" applyFill="1" applyBorder="1" applyAlignment="1">
      <alignment horizontal="justify"/>
    </xf>
    <xf numFmtId="11" fontId="21" fillId="20" borderId="10" xfId="0" applyNumberFormat="1" applyFont="1" applyFill="1" applyBorder="1" applyAlignment="1">
      <alignment vertical="top" wrapText="1"/>
    </xf>
    <xf numFmtId="49" fontId="26" fillId="20" borderId="10" xfId="60" applyNumberFormat="1" applyFont="1" applyFill="1" applyBorder="1" applyAlignment="1">
      <alignment horizontal="center" wrapText="1"/>
    </xf>
    <xf numFmtId="49" fontId="21" fillId="20" borderId="10" xfId="0" applyNumberFormat="1" applyFont="1" applyFill="1" applyBorder="1" applyAlignment="1">
      <alignment horizontal="center" vertical="top"/>
    </xf>
    <xf numFmtId="11" fontId="21" fillId="20" borderId="10" xfId="0" applyNumberFormat="1" applyFont="1" applyFill="1" applyBorder="1" applyAlignment="1">
      <alignment wrapText="1"/>
    </xf>
    <xf numFmtId="165" fontId="21" fillId="20" borderId="10" xfId="0" applyNumberFormat="1" applyFont="1" applyFill="1" applyBorder="1" applyAlignment="1"/>
    <xf numFmtId="2" fontId="24" fillId="20" borderId="0" xfId="0" applyNumberFormat="1" applyFont="1" applyFill="1"/>
    <xf numFmtId="167" fontId="24" fillId="20" borderId="0" xfId="0" applyNumberFormat="1" applyFont="1" applyFill="1"/>
    <xf numFmtId="0" fontId="24" fillId="20" borderId="0" xfId="0" applyFont="1" applyFill="1"/>
    <xf numFmtId="2" fontId="37" fillId="20" borderId="0" xfId="0" applyNumberFormat="1" applyFont="1" applyFill="1"/>
    <xf numFmtId="0" fontId="21" fillId="20" borderId="0" xfId="0" applyFont="1" applyFill="1" applyAlignment="1">
      <alignment horizontal="center"/>
    </xf>
    <xf numFmtId="165" fontId="29" fillId="0" borderId="0" xfId="61" applyNumberFormat="1" applyFont="1" applyFill="1" applyBorder="1"/>
    <xf numFmtId="165" fontId="21" fillId="20" borderId="0" xfId="60" applyNumberFormat="1" applyFont="1" applyFill="1" applyBorder="1" applyAlignment="1">
      <alignment horizontal="left"/>
    </xf>
    <xf numFmtId="165" fontId="21" fillId="20" borderId="0" xfId="0" applyNumberFormat="1" applyFont="1" applyFill="1" applyAlignment="1"/>
    <xf numFmtId="165" fontId="21" fillId="20" borderId="0" xfId="60" applyNumberFormat="1" applyFont="1" applyFill="1" applyBorder="1" applyAlignment="1">
      <alignment horizontal="center" wrapText="1"/>
    </xf>
    <xf numFmtId="165" fontId="21" fillId="0" borderId="0" xfId="60" applyNumberFormat="1" applyFont="1" applyFill="1" applyBorder="1" applyAlignment="1">
      <alignment horizontal="left"/>
    </xf>
    <xf numFmtId="165" fontId="21" fillId="0" borderId="0" xfId="60" applyNumberFormat="1" applyFont="1" applyFill="1" applyBorder="1" applyAlignment="1">
      <alignment horizontal="center" wrapText="1"/>
    </xf>
    <xf numFmtId="165" fontId="0" fillId="0" borderId="0" xfId="0" applyNumberFormat="1" applyAlignment="1"/>
    <xf numFmtId="165" fontId="21" fillId="20" borderId="10" xfId="0" applyNumberFormat="1" applyFont="1" applyFill="1" applyBorder="1" applyAlignment="1">
      <alignment horizontal="center" wrapText="1"/>
    </xf>
    <xf numFmtId="165" fontId="22" fillId="20" borderId="0" xfId="0" applyNumberFormat="1" applyFont="1" applyFill="1" applyBorder="1"/>
    <xf numFmtId="165" fontId="0" fillId="20" borderId="0" xfId="0" applyNumberFormat="1" applyFill="1" applyBorder="1"/>
    <xf numFmtId="165" fontId="0" fillId="20" borderId="0" xfId="0" applyNumberFormat="1" applyFill="1"/>
    <xf numFmtId="0" fontId="21" fillId="22" borderId="0" xfId="0" applyFont="1" applyFill="1"/>
    <xf numFmtId="0" fontId="21" fillId="22" borderId="0" xfId="0" applyFont="1" applyFill="1" applyAlignment="1"/>
    <xf numFmtId="49" fontId="21" fillId="0" borderId="10" xfId="60" applyNumberFormat="1" applyFont="1" applyFill="1" applyBorder="1" applyAlignment="1">
      <alignment horizontal="center" wrapText="1"/>
    </xf>
    <xf numFmtId="0" fontId="36" fillId="20" borderId="10" xfId="43" applyFont="1" applyFill="1" applyBorder="1" applyAlignment="1">
      <alignment wrapText="1"/>
    </xf>
    <xf numFmtId="166" fontId="24" fillId="20" borderId="0" xfId="0" applyNumberFormat="1" applyFont="1" applyFill="1"/>
    <xf numFmtId="11" fontId="36" fillId="0" borderId="10" xfId="0" applyNumberFormat="1" applyFont="1" applyBorder="1" applyAlignment="1">
      <alignment wrapText="1"/>
    </xf>
    <xf numFmtId="0" fontId="34" fillId="20" borderId="10" xfId="60" applyFont="1" applyFill="1" applyBorder="1" applyAlignment="1">
      <alignment wrapText="1"/>
    </xf>
    <xf numFmtId="49" fontId="34" fillId="20" borderId="10" xfId="60" applyNumberFormat="1" applyFont="1" applyFill="1" applyBorder="1" applyAlignment="1">
      <alignment horizontal="center"/>
    </xf>
    <xf numFmtId="166" fontId="24" fillId="24" borderId="0" xfId="0" applyNumberFormat="1" applyFont="1" applyFill="1"/>
    <xf numFmtId="49" fontId="24" fillId="24" borderId="0" xfId="0" applyNumberFormat="1" applyFont="1" applyFill="1"/>
    <xf numFmtId="49" fontId="24" fillId="20" borderId="0" xfId="0" applyNumberFormat="1" applyFont="1" applyFill="1"/>
    <xf numFmtId="49" fontId="24" fillId="23" borderId="0" xfId="0" applyNumberFormat="1" applyFont="1" applyFill="1"/>
    <xf numFmtId="49" fontId="24" fillId="22" borderId="0" xfId="0" applyNumberFormat="1" applyFont="1" applyFill="1"/>
    <xf numFmtId="49" fontId="24" fillId="24" borderId="0" xfId="0" applyNumberFormat="1" applyFont="1" applyFill="1" applyAlignment="1">
      <alignment horizontal="center"/>
    </xf>
    <xf numFmtId="49" fontId="24" fillId="20" borderId="0" xfId="0" applyNumberFormat="1" applyFont="1" applyFill="1" applyAlignment="1">
      <alignment horizontal="center"/>
    </xf>
    <xf numFmtId="49" fontId="24" fillId="23" borderId="0" xfId="0" applyNumberFormat="1" applyFont="1" applyFill="1" applyAlignment="1">
      <alignment horizontal="center"/>
    </xf>
    <xf numFmtId="49" fontId="24" fillId="22" borderId="0" xfId="0" applyNumberFormat="1" applyFont="1" applyFill="1" applyAlignment="1">
      <alignment horizontal="center"/>
    </xf>
    <xf numFmtId="166" fontId="24" fillId="23" borderId="0" xfId="0" applyNumberFormat="1" applyFont="1" applyFill="1"/>
    <xf numFmtId="166" fontId="24" fillId="22" borderId="0" xfId="0" applyNumberFormat="1" applyFont="1" applyFill="1"/>
    <xf numFmtId="165" fontId="24" fillId="0" borderId="10" xfId="61" applyNumberFormat="1" applyFont="1" applyFill="1" applyBorder="1"/>
    <xf numFmtId="0" fontId="24" fillId="25" borderId="10" xfId="60" applyFont="1" applyFill="1" applyBorder="1" applyAlignment="1">
      <alignment horizontal="center" wrapText="1"/>
    </xf>
    <xf numFmtId="49" fontId="24" fillId="25" borderId="10" xfId="60" applyNumberFormat="1" applyFont="1" applyFill="1" applyBorder="1" applyAlignment="1">
      <alignment horizontal="center" wrapText="1"/>
    </xf>
    <xf numFmtId="165" fontId="24" fillId="26" borderId="10" xfId="0" applyNumberFormat="1" applyFont="1" applyFill="1" applyBorder="1"/>
    <xf numFmtId="49" fontId="24" fillId="25" borderId="10" xfId="60" applyNumberFormat="1" applyFont="1" applyFill="1" applyBorder="1" applyAlignment="1">
      <alignment horizontal="center"/>
    </xf>
    <xf numFmtId="165" fontId="21" fillId="0" borderId="10" xfId="0" applyNumberFormat="1" applyFont="1" applyBorder="1"/>
    <xf numFmtId="0" fontId="21" fillId="0" borderId="12" xfId="61" applyFont="1" applyFill="1" applyBorder="1" applyAlignment="1">
      <alignment horizontal="center" wrapText="1"/>
    </xf>
    <xf numFmtId="0" fontId="34" fillId="20" borderId="10" xfId="0" applyFont="1" applyFill="1" applyBorder="1" applyAlignment="1">
      <alignment horizontal="left" wrapText="1"/>
    </xf>
    <xf numFmtId="0" fontId="21" fillId="0" borderId="10" xfId="60" applyFont="1" applyFill="1" applyBorder="1" applyAlignment="1">
      <alignment horizontal="center"/>
    </xf>
    <xf numFmtId="165" fontId="0" fillId="0" borderId="0" xfId="0" applyNumberFormat="1"/>
    <xf numFmtId="165" fontId="24" fillId="20" borderId="10" xfId="0" applyNumberFormat="1" applyFont="1" applyFill="1" applyBorder="1" applyAlignment="1">
      <alignment wrapText="1"/>
    </xf>
    <xf numFmtId="4" fontId="42" fillId="0" borderId="0" xfId="0" applyNumberFormat="1" applyFont="1"/>
    <xf numFmtId="0" fontId="34" fillId="20" borderId="10" xfId="61" applyFont="1" applyFill="1" applyBorder="1" applyAlignment="1">
      <alignment wrapText="1"/>
    </xf>
    <xf numFmtId="165" fontId="21" fillId="0" borderId="13" xfId="61" applyNumberFormat="1" applyFont="1" applyFill="1" applyBorder="1" applyAlignment="1">
      <alignment horizontal="center" wrapText="1"/>
    </xf>
    <xf numFmtId="165" fontId="21" fillId="0" borderId="11" xfId="61" applyNumberFormat="1" applyFont="1" applyFill="1" applyBorder="1" applyAlignment="1">
      <alignment horizontal="center" wrapText="1"/>
    </xf>
    <xf numFmtId="49" fontId="21" fillId="0" borderId="0" xfId="61" applyNumberFormat="1" applyFont="1" applyFill="1" applyBorder="1" applyAlignment="1">
      <alignment horizontal="left"/>
    </xf>
    <xf numFmtId="0" fontId="21" fillId="0" borderId="0" xfId="61" applyFont="1" applyFill="1" applyBorder="1" applyAlignment="1">
      <alignment horizontal="left"/>
    </xf>
    <xf numFmtId="0" fontId="21" fillId="0" borderId="0" xfId="61" applyFont="1" applyFill="1" applyBorder="1" applyAlignment="1">
      <alignment horizontal="right" wrapText="1"/>
    </xf>
    <xf numFmtId="0" fontId="21" fillId="0" borderId="0" xfId="61" applyFont="1" applyFill="1" applyBorder="1" applyAlignment="1">
      <alignment horizontal="center" wrapText="1"/>
    </xf>
    <xf numFmtId="11" fontId="21" fillId="0" borderId="10" xfId="61" applyNumberFormat="1" applyFont="1" applyFill="1" applyBorder="1" applyAlignment="1">
      <alignment wrapText="1"/>
    </xf>
    <xf numFmtId="49" fontId="21" fillId="0" borderId="10" xfId="61" applyNumberFormat="1" applyFont="1" applyFill="1" applyBorder="1" applyAlignment="1">
      <alignment horizontal="center" wrapText="1"/>
    </xf>
    <xf numFmtId="49" fontId="21" fillId="0" borderId="0" xfId="60" applyNumberFormat="1" applyFont="1" applyFill="1" applyBorder="1" applyAlignment="1">
      <alignment horizontal="left"/>
    </xf>
    <xf numFmtId="0" fontId="21" fillId="0" borderId="0" xfId="60" applyFont="1" applyFill="1" applyBorder="1" applyAlignment="1">
      <alignment horizontal="left"/>
    </xf>
    <xf numFmtId="0" fontId="21" fillId="0" borderId="0" xfId="60" applyFont="1" applyFill="1" applyBorder="1" applyAlignment="1">
      <alignment horizontal="center" wrapText="1"/>
    </xf>
    <xf numFmtId="0" fontId="0" fillId="0" borderId="0" xfId="0" applyAlignment="1"/>
    <xf numFmtId="0" fontId="0" fillId="0" borderId="0" xfId="0" applyAlignment="1">
      <alignment horizontal="left"/>
    </xf>
    <xf numFmtId="0" fontId="21" fillId="22" borderId="0" xfId="0" applyFont="1" applyFill="1" applyAlignment="1">
      <alignment horizontal="center"/>
    </xf>
    <xf numFmtId="0" fontId="21" fillId="20" borderId="0" xfId="0" applyFont="1" applyFill="1" applyAlignment="1">
      <alignment horizontal="center"/>
    </xf>
    <xf numFmtId="0" fontId="37" fillId="20" borderId="0" xfId="0" applyFont="1" applyFill="1" applyAlignment="1">
      <alignment horizontal="center"/>
    </xf>
    <xf numFmtId="49" fontId="21" fillId="20" borderId="0" xfId="60" applyNumberFormat="1" applyFont="1" applyFill="1" applyBorder="1" applyAlignment="1">
      <alignment horizontal="left"/>
    </xf>
    <xf numFmtId="0" fontId="21" fillId="20" borderId="0" xfId="60" applyFont="1" applyFill="1" applyBorder="1" applyAlignment="1">
      <alignment horizontal="left"/>
    </xf>
    <xf numFmtId="0" fontId="21" fillId="20" borderId="0" xfId="60" applyFont="1" applyFill="1" applyBorder="1" applyAlignment="1">
      <alignment horizontal="center" wrapText="1"/>
    </xf>
    <xf numFmtId="0" fontId="21" fillId="20" borderId="0" xfId="60" applyFont="1" applyFill="1" applyBorder="1" applyAlignment="1"/>
    <xf numFmtId="0" fontId="21" fillId="20" borderId="0" xfId="0" applyFont="1" applyFill="1" applyAlignment="1"/>
  </cellXfs>
  <cellStyles count="8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енежный 2" xfId="28"/>
    <cellStyle name="Денежный 3" xfId="29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Обычный 10" xfId="38"/>
    <cellStyle name="Обычный 10 2" xfId="82"/>
    <cellStyle name="Обычный 10_Расходы 2020-2022 1" xfId="79"/>
    <cellStyle name="Обычный 11" xfId="67"/>
    <cellStyle name="Обычный 12" xfId="69"/>
    <cellStyle name="Обычный 13" xfId="71"/>
    <cellStyle name="Обычный 14" xfId="73"/>
    <cellStyle name="Обычный 15" xfId="75"/>
    <cellStyle name="Обычный 16" xfId="77"/>
    <cellStyle name="Обычный 17" xfId="83"/>
    <cellStyle name="Обычный 2" xfId="39"/>
    <cellStyle name="Обычный 2 10" xfId="84"/>
    <cellStyle name="Обычный 2 2" xfId="40"/>
    <cellStyle name="Обычный 2 2 2" xfId="41"/>
    <cellStyle name="Обычный 2 2_Расходы 2019-2021 1" xfId="42"/>
    <cellStyle name="Обычный 2 3" xfId="43"/>
    <cellStyle name="Обычный 2 3 2" xfId="44"/>
    <cellStyle name="Обычный 2 3_Расходы 2019-2021 1" xfId="45"/>
    <cellStyle name="Обычный 2 4" xfId="68"/>
    <cellStyle name="Обычный 2 5" xfId="70"/>
    <cellStyle name="Обычный 2 6" xfId="72"/>
    <cellStyle name="Обычный 2 7" xfId="74"/>
    <cellStyle name="Обычный 2 8" xfId="76"/>
    <cellStyle name="Обычный 2 9" xfId="78"/>
    <cellStyle name="Обычный 2_Расходы 2019-2021 1" xfId="46"/>
    <cellStyle name="Обычный 3" xfId="47"/>
    <cellStyle name="Обычный 3 2" xfId="80"/>
    <cellStyle name="Обычный 4" xfId="48"/>
    <cellStyle name="Обычный 5" xfId="49"/>
    <cellStyle name="Обычный 6" xfId="50"/>
    <cellStyle name="Обычный 7" xfId="51"/>
    <cellStyle name="Обычный 8" xfId="52"/>
    <cellStyle name="Обычный 8 2" xfId="53"/>
    <cellStyle name="Обычный 8 2 2" xfId="54"/>
    <cellStyle name="Обычный 8 2_Расходы 2019-2021 1" xfId="55"/>
    <cellStyle name="Обычный 8 3" xfId="56"/>
    <cellStyle name="Обычный 8_Расходы 2019-2021 1" xfId="57"/>
    <cellStyle name="Обычный 9" xfId="58"/>
    <cellStyle name="Плохой" xfId="59" builtinId="27" customBuiltin="1"/>
    <cellStyle name="Пояснение" xfId="60" builtinId="53" customBuiltin="1"/>
    <cellStyle name="Пояснение 2" xfId="61"/>
    <cellStyle name="Примечание" xfId="62" builtinId="10" customBuiltin="1"/>
    <cellStyle name="Примечание 2" xfId="63"/>
    <cellStyle name="Связанная ячейка" xfId="64" builtinId="24" customBuiltin="1"/>
    <cellStyle name="Текст предупреждения" xfId="65" builtinId="11" customBuiltin="1"/>
    <cellStyle name="Финансовый 2" xfId="81"/>
    <cellStyle name="Хороший" xfId="66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E46C0A"/>
      <rgbColor rgb="00666699"/>
      <rgbColor rgb="00B2B2B2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demina_oa\Desktop\&#1041;&#1102;&#1076;&#1078;&#1077;&#1090;%202018\&#1056;&#1072;&#1089;&#1093;&#1086;&#1076;&#109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6;&#1072;&#1089;&#1093;&#1086;&#1076;&#1099;%202021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БС"/>
      <sheetName val="18-город"/>
      <sheetName val="19-20-город"/>
      <sheetName val="В-18"/>
      <sheetName val="В-19-20"/>
      <sheetName val="Ф-18"/>
      <sheetName val="Ф-19-20"/>
      <sheetName val="публ 18"/>
      <sheetName val="публ 19-20"/>
    </sheetNames>
    <sheetDataSet>
      <sheetData sheetId="0"/>
      <sheetData sheetId="1"/>
      <sheetData sheetId="2"/>
      <sheetData sheetId="3">
        <row r="343">
          <cell r="G343">
            <v>2348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21-город"/>
      <sheetName val="22-23"/>
      <sheetName val="В-21"/>
      <sheetName val="В-22- 23"/>
      <sheetName val="Ф-21"/>
      <sheetName val="Ф-22-23"/>
      <sheetName val="публ 21"/>
      <sheetName val="публ 22-23"/>
    </sheetNames>
    <sheetDataSet>
      <sheetData sheetId="0"/>
      <sheetData sheetId="1"/>
      <sheetData sheetId="2"/>
      <sheetData sheetId="3">
        <row r="12">
          <cell r="G12">
            <v>719.9</v>
          </cell>
        </row>
        <row r="26">
          <cell r="G26">
            <v>0</v>
          </cell>
        </row>
        <row r="53">
          <cell r="G53">
            <v>0</v>
          </cell>
        </row>
        <row r="60">
          <cell r="G60">
            <v>0</v>
          </cell>
        </row>
        <row r="88">
          <cell r="G88">
            <v>0</v>
          </cell>
        </row>
        <row r="109">
          <cell r="G109">
            <v>0</v>
          </cell>
        </row>
        <row r="133">
          <cell r="G133">
            <v>0</v>
          </cell>
        </row>
        <row r="135">
          <cell r="G135">
            <v>0</v>
          </cell>
        </row>
        <row r="137">
          <cell r="G137">
            <v>0</v>
          </cell>
        </row>
        <row r="149">
          <cell r="G149">
            <v>0</v>
          </cell>
        </row>
        <row r="152">
          <cell r="G152">
            <v>0</v>
          </cell>
        </row>
        <row r="156">
          <cell r="G156">
            <v>0</v>
          </cell>
        </row>
        <row r="158">
          <cell r="G158">
            <v>0</v>
          </cell>
        </row>
        <row r="170">
          <cell r="G170">
            <v>0</v>
          </cell>
        </row>
        <row r="213">
          <cell r="G213">
            <v>0</v>
          </cell>
        </row>
        <row r="240">
          <cell r="G240">
            <v>0</v>
          </cell>
        </row>
        <row r="294">
          <cell r="G294">
            <v>0</v>
          </cell>
        </row>
        <row r="303">
          <cell r="G303">
            <v>0</v>
          </cell>
        </row>
        <row r="305">
          <cell r="G305">
            <v>0</v>
          </cell>
        </row>
        <row r="306">
          <cell r="G306">
            <v>0</v>
          </cell>
        </row>
        <row r="308">
          <cell r="G308">
            <v>0</v>
          </cell>
        </row>
        <row r="309">
          <cell r="G309">
            <v>0</v>
          </cell>
        </row>
        <row r="311">
          <cell r="G311">
            <v>0</v>
          </cell>
        </row>
        <row r="375">
          <cell r="G375">
            <v>0</v>
          </cell>
        </row>
        <row r="408">
          <cell r="G408">
            <v>0</v>
          </cell>
        </row>
        <row r="424">
          <cell r="G424">
            <v>0</v>
          </cell>
        </row>
        <row r="425">
          <cell r="G425">
            <v>0</v>
          </cell>
        </row>
        <row r="439">
          <cell r="G439">
            <v>0</v>
          </cell>
        </row>
        <row r="464">
          <cell r="G464">
            <v>0</v>
          </cell>
        </row>
        <row r="500">
          <cell r="G500">
            <v>0</v>
          </cell>
        </row>
        <row r="534">
          <cell r="G534">
            <v>0</v>
          </cell>
        </row>
        <row r="552">
          <cell r="G552">
            <v>0</v>
          </cell>
        </row>
        <row r="554">
          <cell r="G554">
            <v>0</v>
          </cell>
        </row>
        <row r="568">
          <cell r="G568">
            <v>0</v>
          </cell>
        </row>
        <row r="584">
          <cell r="G584">
            <v>0</v>
          </cell>
        </row>
        <row r="586">
          <cell r="G586">
            <v>0</v>
          </cell>
        </row>
        <row r="597">
          <cell r="G597">
            <v>0</v>
          </cell>
        </row>
        <row r="746">
          <cell r="G746">
            <v>0</v>
          </cell>
        </row>
        <row r="785">
          <cell r="G785">
            <v>0</v>
          </cell>
        </row>
        <row r="838">
          <cell r="G838">
            <v>0</v>
          </cell>
        </row>
        <row r="855">
          <cell r="G855">
            <v>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IT63"/>
  <sheetViews>
    <sheetView tabSelected="1" zoomScale="70" zoomScaleNormal="70" workbookViewId="0">
      <selection activeCell="N5" sqref="N5"/>
    </sheetView>
  </sheetViews>
  <sheetFormatPr defaultColWidth="7.140625" defaultRowHeight="15" outlineLevelRow="1" x14ac:dyDescent="0.25"/>
  <cols>
    <col min="1" max="1" width="55.5703125" style="23" customWidth="1"/>
    <col min="2" max="2" width="7.140625" style="23" customWidth="1"/>
    <col min="3" max="3" width="8.42578125" style="23" customWidth="1"/>
    <col min="4" max="4" width="15.85546875" style="23" customWidth="1"/>
    <col min="5" max="5" width="10.42578125" style="23" customWidth="1"/>
    <col min="6" max="7" width="15.28515625" style="208" customWidth="1"/>
    <col min="8" max="10" width="7.140625" style="23" hidden="1" customWidth="1"/>
    <col min="11" max="11" width="15.5703125" style="23" hidden="1" customWidth="1"/>
    <col min="12" max="254" width="9.140625" style="23" customWidth="1"/>
    <col min="255" max="255" width="55.5703125" style="23" customWidth="1"/>
    <col min="256" max="16384" width="7.140625" style="23"/>
  </cols>
  <sheetData>
    <row r="1" spans="1:254" ht="18.75" x14ac:dyDescent="0.3">
      <c r="A1" s="253" t="s">
        <v>740</v>
      </c>
      <c r="B1" s="253"/>
      <c r="C1" s="253"/>
      <c r="D1" s="253"/>
      <c r="E1" s="253"/>
      <c r="F1" s="253"/>
      <c r="G1" s="3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  <c r="EM1" s="22"/>
      <c r="EN1" s="22"/>
      <c r="EO1" s="22"/>
      <c r="EP1" s="22"/>
      <c r="EQ1" s="22"/>
      <c r="ER1" s="22"/>
      <c r="ES1" s="22"/>
      <c r="ET1" s="22"/>
      <c r="EU1" s="22"/>
      <c r="EV1" s="22"/>
      <c r="EW1" s="22"/>
      <c r="EX1" s="22"/>
      <c r="EY1" s="22"/>
      <c r="EZ1" s="22"/>
      <c r="FA1" s="22"/>
      <c r="FB1" s="22"/>
      <c r="FC1" s="22"/>
      <c r="FD1" s="22"/>
      <c r="FE1" s="22"/>
      <c r="FF1" s="22"/>
      <c r="FG1" s="22"/>
      <c r="FH1" s="22"/>
      <c r="FI1" s="22"/>
      <c r="FJ1" s="22"/>
      <c r="FK1" s="22"/>
      <c r="FL1" s="22"/>
      <c r="FM1" s="22"/>
      <c r="FN1" s="22"/>
      <c r="FO1" s="22"/>
      <c r="FP1" s="22"/>
      <c r="FQ1" s="22"/>
      <c r="FR1" s="22"/>
      <c r="FS1" s="22"/>
      <c r="FT1" s="22"/>
      <c r="FU1" s="22"/>
      <c r="FV1" s="22"/>
      <c r="FW1" s="22"/>
      <c r="FX1" s="22"/>
      <c r="FY1" s="22"/>
      <c r="FZ1" s="22"/>
      <c r="GA1" s="22"/>
      <c r="GB1" s="22"/>
      <c r="GC1" s="22"/>
      <c r="GD1" s="22"/>
      <c r="GE1" s="22"/>
      <c r="GF1" s="22"/>
      <c r="GG1" s="22"/>
      <c r="GH1" s="22"/>
      <c r="GI1" s="22"/>
      <c r="GJ1" s="22"/>
      <c r="GK1" s="22"/>
      <c r="GL1" s="22"/>
      <c r="GM1" s="22"/>
      <c r="GN1" s="22"/>
      <c r="GO1" s="22"/>
      <c r="GP1" s="22"/>
      <c r="GQ1" s="22"/>
      <c r="GR1" s="22"/>
      <c r="GS1" s="22"/>
      <c r="GT1" s="22"/>
      <c r="GU1" s="22"/>
      <c r="GV1" s="22"/>
      <c r="GW1" s="22"/>
      <c r="GX1" s="22"/>
      <c r="GY1" s="22"/>
      <c r="GZ1" s="22"/>
      <c r="HA1" s="22"/>
      <c r="HB1" s="22"/>
      <c r="HC1" s="22"/>
      <c r="HD1" s="22"/>
      <c r="HE1" s="22"/>
      <c r="HF1" s="22"/>
      <c r="HG1" s="22"/>
      <c r="HH1" s="22"/>
      <c r="HI1" s="22"/>
      <c r="HJ1" s="22"/>
      <c r="HK1" s="22"/>
      <c r="HL1" s="22"/>
      <c r="HM1" s="22"/>
      <c r="HN1" s="22"/>
      <c r="HO1" s="22"/>
      <c r="HP1" s="22"/>
      <c r="HQ1" s="22"/>
      <c r="HR1" s="22"/>
      <c r="HS1" s="22"/>
      <c r="HT1" s="22"/>
      <c r="HU1" s="22"/>
      <c r="HV1" s="22"/>
      <c r="HW1" s="22"/>
      <c r="HX1" s="22"/>
      <c r="HY1" s="22"/>
      <c r="HZ1" s="22"/>
      <c r="IA1" s="22"/>
      <c r="IB1" s="22"/>
      <c r="IC1" s="22"/>
      <c r="ID1" s="22"/>
      <c r="IE1" s="22"/>
      <c r="IF1" s="22"/>
      <c r="IG1" s="22"/>
      <c r="IH1" s="22"/>
      <c r="II1" s="22"/>
      <c r="IJ1" s="22"/>
      <c r="IK1" s="22"/>
      <c r="IL1" s="22"/>
      <c r="IM1" s="22"/>
      <c r="IN1" s="22"/>
      <c r="IO1" s="22"/>
      <c r="IP1" s="22"/>
      <c r="IQ1" s="22"/>
      <c r="IR1" s="22"/>
      <c r="IS1" s="22"/>
      <c r="IT1" s="22"/>
    </row>
    <row r="2" spans="1:254" ht="18.75" x14ac:dyDescent="0.3">
      <c r="A2" s="254" t="s">
        <v>337</v>
      </c>
      <c r="B2" s="254"/>
      <c r="C2" s="254"/>
      <c r="D2" s="254"/>
      <c r="E2" s="254"/>
      <c r="F2" s="254"/>
      <c r="G2" s="3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2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2"/>
      <c r="DG2" s="22"/>
      <c r="DH2" s="22"/>
      <c r="DI2" s="22"/>
      <c r="DJ2" s="22"/>
      <c r="DK2" s="22"/>
      <c r="DL2" s="22"/>
      <c r="DM2" s="22"/>
      <c r="DN2" s="22"/>
      <c r="DO2" s="22"/>
      <c r="DP2" s="22"/>
      <c r="DQ2" s="22"/>
      <c r="DR2" s="22"/>
      <c r="DS2" s="22"/>
      <c r="DT2" s="22"/>
      <c r="DU2" s="22"/>
      <c r="DV2" s="22"/>
      <c r="DW2" s="22"/>
      <c r="DX2" s="22"/>
      <c r="DY2" s="22"/>
      <c r="DZ2" s="22"/>
      <c r="EA2" s="22"/>
      <c r="EB2" s="22"/>
      <c r="EC2" s="22"/>
      <c r="ED2" s="22"/>
      <c r="EE2" s="22"/>
      <c r="EF2" s="22"/>
      <c r="EG2" s="22"/>
      <c r="EH2" s="22"/>
      <c r="EI2" s="22"/>
      <c r="EJ2" s="22"/>
      <c r="EK2" s="22"/>
      <c r="EL2" s="22"/>
      <c r="EM2" s="22"/>
      <c r="EN2" s="22"/>
      <c r="EO2" s="22"/>
      <c r="EP2" s="22"/>
      <c r="EQ2" s="22"/>
      <c r="ER2" s="22"/>
      <c r="ES2" s="22"/>
      <c r="ET2" s="22"/>
      <c r="EU2" s="22"/>
      <c r="EV2" s="22"/>
      <c r="EW2" s="22"/>
      <c r="EX2" s="22"/>
      <c r="EY2" s="22"/>
      <c r="EZ2" s="22"/>
      <c r="FA2" s="22"/>
      <c r="FB2" s="22"/>
      <c r="FC2" s="22"/>
      <c r="FD2" s="22"/>
      <c r="FE2" s="22"/>
      <c r="FF2" s="22"/>
      <c r="FG2" s="22"/>
      <c r="FH2" s="22"/>
      <c r="FI2" s="22"/>
      <c r="FJ2" s="22"/>
      <c r="FK2" s="22"/>
      <c r="FL2" s="22"/>
      <c r="FM2" s="22"/>
      <c r="FN2" s="22"/>
      <c r="FO2" s="22"/>
      <c r="FP2" s="22"/>
      <c r="FQ2" s="22"/>
      <c r="FR2" s="22"/>
      <c r="FS2" s="22"/>
      <c r="FT2" s="22"/>
      <c r="FU2" s="22"/>
      <c r="FV2" s="22"/>
      <c r="FW2" s="22"/>
      <c r="FX2" s="22"/>
      <c r="FY2" s="22"/>
      <c r="FZ2" s="22"/>
      <c r="GA2" s="22"/>
      <c r="GB2" s="22"/>
      <c r="GC2" s="22"/>
      <c r="GD2" s="22"/>
      <c r="GE2" s="22"/>
      <c r="GF2" s="22"/>
      <c r="GG2" s="22"/>
      <c r="GH2" s="22"/>
      <c r="GI2" s="22"/>
      <c r="GJ2" s="22"/>
      <c r="GK2" s="22"/>
      <c r="GL2" s="22"/>
      <c r="GM2" s="22"/>
      <c r="GN2" s="22"/>
      <c r="GO2" s="22"/>
      <c r="GP2" s="22"/>
      <c r="GQ2" s="22"/>
      <c r="GR2" s="22"/>
      <c r="GS2" s="22"/>
      <c r="GT2" s="22"/>
      <c r="GU2" s="22"/>
      <c r="GV2" s="22"/>
      <c r="GW2" s="22"/>
      <c r="GX2" s="22"/>
      <c r="GY2" s="22"/>
      <c r="GZ2" s="22"/>
      <c r="HA2" s="22"/>
      <c r="HB2" s="22"/>
      <c r="HC2" s="22"/>
      <c r="HD2" s="22"/>
      <c r="HE2" s="22"/>
      <c r="HF2" s="22"/>
      <c r="HG2" s="22"/>
      <c r="HH2" s="22"/>
      <c r="HI2" s="22"/>
      <c r="HJ2" s="22"/>
      <c r="HK2" s="22"/>
      <c r="HL2" s="22"/>
      <c r="HM2" s="22"/>
      <c r="HN2" s="22"/>
      <c r="HO2" s="22"/>
      <c r="HP2" s="22"/>
      <c r="HQ2" s="22"/>
      <c r="HR2" s="22"/>
      <c r="HS2" s="22"/>
      <c r="HT2" s="22"/>
      <c r="HU2" s="22"/>
      <c r="HV2" s="22"/>
      <c r="HW2" s="22"/>
      <c r="HX2" s="22"/>
      <c r="HY2" s="22"/>
      <c r="HZ2" s="22"/>
      <c r="IA2" s="22"/>
      <c r="IB2" s="22"/>
      <c r="IC2" s="22"/>
      <c r="ID2" s="22"/>
      <c r="IE2" s="22"/>
      <c r="IF2" s="22"/>
      <c r="IG2" s="22"/>
      <c r="IH2" s="22"/>
      <c r="II2" s="22"/>
      <c r="IJ2" s="22"/>
      <c r="IK2" s="22"/>
      <c r="IL2" s="22"/>
      <c r="IM2" s="22"/>
      <c r="IN2" s="22"/>
      <c r="IO2" s="22"/>
      <c r="IP2" s="22"/>
      <c r="IQ2" s="22"/>
      <c r="IR2" s="22"/>
      <c r="IS2" s="22"/>
      <c r="IT2" s="22"/>
    </row>
    <row r="3" spans="1:254" ht="18.75" x14ac:dyDescent="0.3">
      <c r="A3" s="254" t="s">
        <v>338</v>
      </c>
      <c r="B3" s="254"/>
      <c r="C3" s="254"/>
      <c r="D3" s="254"/>
      <c r="E3" s="254"/>
      <c r="F3" s="254"/>
      <c r="G3" s="3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  <c r="EM3" s="22"/>
      <c r="EN3" s="22"/>
      <c r="EO3" s="22"/>
      <c r="EP3" s="22"/>
      <c r="EQ3" s="22"/>
      <c r="ER3" s="22"/>
      <c r="ES3" s="22"/>
      <c r="ET3" s="22"/>
      <c r="EU3" s="22"/>
      <c r="EV3" s="22"/>
      <c r="EW3" s="22"/>
      <c r="EX3" s="22"/>
      <c r="EY3" s="22"/>
      <c r="EZ3" s="22"/>
      <c r="FA3" s="22"/>
      <c r="FB3" s="22"/>
      <c r="FC3" s="22"/>
      <c r="FD3" s="22"/>
      <c r="FE3" s="22"/>
      <c r="FF3" s="22"/>
      <c r="FG3" s="22"/>
      <c r="FH3" s="22"/>
      <c r="FI3" s="22"/>
      <c r="FJ3" s="22"/>
      <c r="FK3" s="22"/>
      <c r="FL3" s="22"/>
      <c r="FM3" s="22"/>
      <c r="FN3" s="22"/>
      <c r="FO3" s="22"/>
      <c r="FP3" s="22"/>
      <c r="FQ3" s="22"/>
      <c r="FR3" s="22"/>
      <c r="FS3" s="22"/>
      <c r="FT3" s="22"/>
      <c r="FU3" s="22"/>
      <c r="FV3" s="22"/>
      <c r="FW3" s="22"/>
      <c r="FX3" s="22"/>
      <c r="FY3" s="22"/>
      <c r="FZ3" s="22"/>
      <c r="GA3" s="22"/>
      <c r="GB3" s="22"/>
      <c r="GC3" s="22"/>
      <c r="GD3" s="22"/>
      <c r="GE3" s="22"/>
      <c r="GF3" s="22"/>
      <c r="GG3" s="22"/>
      <c r="GH3" s="22"/>
      <c r="GI3" s="22"/>
      <c r="GJ3" s="22"/>
      <c r="GK3" s="22"/>
      <c r="GL3" s="22"/>
      <c r="GM3" s="22"/>
      <c r="GN3" s="22"/>
      <c r="GO3" s="22"/>
      <c r="GP3" s="22"/>
      <c r="GQ3" s="22"/>
      <c r="GR3" s="22"/>
      <c r="GS3" s="22"/>
      <c r="GT3" s="22"/>
      <c r="GU3" s="22"/>
      <c r="GV3" s="22"/>
      <c r="GW3" s="22"/>
      <c r="GX3" s="22"/>
      <c r="GY3" s="22"/>
      <c r="GZ3" s="22"/>
      <c r="HA3" s="22"/>
      <c r="HB3" s="22"/>
      <c r="HC3" s="22"/>
      <c r="HD3" s="22"/>
      <c r="HE3" s="22"/>
      <c r="HF3" s="22"/>
      <c r="HG3" s="22"/>
      <c r="HH3" s="22"/>
      <c r="HI3" s="22"/>
      <c r="HJ3" s="22"/>
      <c r="HK3" s="22"/>
      <c r="HL3" s="22"/>
      <c r="HM3" s="22"/>
      <c r="HN3" s="22"/>
      <c r="HO3" s="22"/>
      <c r="HP3" s="22"/>
      <c r="HQ3" s="22"/>
      <c r="HR3" s="22"/>
      <c r="HS3" s="22"/>
      <c r="HT3" s="22"/>
      <c r="HU3" s="22"/>
      <c r="HV3" s="22"/>
      <c r="HW3" s="22"/>
      <c r="HX3" s="22"/>
      <c r="HY3" s="22"/>
      <c r="HZ3" s="22"/>
      <c r="IA3" s="22"/>
      <c r="IB3" s="22"/>
      <c r="IC3" s="22"/>
      <c r="ID3" s="22"/>
      <c r="IE3" s="22"/>
      <c r="IF3" s="22"/>
      <c r="IG3" s="22"/>
      <c r="IH3" s="22"/>
      <c r="II3" s="22"/>
      <c r="IJ3" s="22"/>
      <c r="IK3" s="22"/>
      <c r="IL3" s="22"/>
      <c r="IM3" s="22"/>
      <c r="IN3" s="22"/>
      <c r="IO3" s="22"/>
      <c r="IP3" s="22"/>
      <c r="IQ3" s="22"/>
      <c r="IR3" s="22"/>
      <c r="IS3" s="22"/>
      <c r="IT3" s="22"/>
    </row>
    <row r="4" spans="1:254" ht="18.75" x14ac:dyDescent="0.3">
      <c r="A4" s="254" t="s">
        <v>898</v>
      </c>
      <c r="B4" s="254"/>
      <c r="C4" s="254"/>
      <c r="D4" s="254"/>
      <c r="E4" s="254"/>
      <c r="F4" s="254"/>
      <c r="G4" s="3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  <c r="HN4" s="22"/>
      <c r="HO4" s="22"/>
      <c r="HP4" s="22"/>
      <c r="HQ4" s="22"/>
      <c r="HR4" s="22"/>
      <c r="HS4" s="22"/>
      <c r="HT4" s="22"/>
      <c r="HU4" s="22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</row>
    <row r="5" spans="1:254" ht="18.75" x14ac:dyDescent="0.3">
      <c r="A5" s="255"/>
      <c r="B5" s="255"/>
      <c r="C5" s="255"/>
      <c r="D5" s="255"/>
      <c r="E5" s="255"/>
      <c r="F5" s="32"/>
      <c r="G5" s="3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  <c r="HN5" s="22"/>
      <c r="HO5" s="22"/>
      <c r="HP5" s="22"/>
      <c r="HQ5" s="22"/>
      <c r="HR5" s="22"/>
      <c r="HS5" s="22"/>
      <c r="HT5" s="22"/>
      <c r="HU5" s="22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</row>
    <row r="6" spans="1:254" ht="37.5" customHeight="1" x14ac:dyDescent="0.3">
      <c r="A6" s="256" t="s">
        <v>339</v>
      </c>
      <c r="B6" s="256"/>
      <c r="C6" s="256"/>
      <c r="D6" s="256"/>
      <c r="E6" s="256"/>
      <c r="F6" s="32"/>
      <c r="G6" s="3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  <c r="GO6" s="22"/>
      <c r="GP6" s="22"/>
      <c r="GQ6" s="22"/>
      <c r="GR6" s="22"/>
      <c r="GS6" s="22"/>
      <c r="GT6" s="22"/>
      <c r="GU6" s="22"/>
      <c r="GV6" s="22"/>
      <c r="GW6" s="22"/>
      <c r="GX6" s="22"/>
      <c r="GY6" s="22"/>
      <c r="GZ6" s="22"/>
      <c r="HA6" s="22"/>
      <c r="HB6" s="22"/>
      <c r="HC6" s="22"/>
      <c r="HD6" s="22"/>
      <c r="HE6" s="22"/>
      <c r="HF6" s="22"/>
      <c r="HG6" s="22"/>
      <c r="HH6" s="22"/>
      <c r="HI6" s="22"/>
      <c r="HJ6" s="22"/>
      <c r="HK6" s="22"/>
      <c r="HL6" s="22"/>
      <c r="HM6" s="22"/>
      <c r="HN6" s="22"/>
      <c r="HO6" s="22"/>
      <c r="HP6" s="22"/>
      <c r="HQ6" s="22"/>
      <c r="HR6" s="22"/>
      <c r="HS6" s="22"/>
      <c r="HT6" s="22"/>
      <c r="HU6" s="22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</row>
    <row r="7" spans="1:254" x14ac:dyDescent="0.25">
      <c r="A7" s="22"/>
      <c r="B7" s="22"/>
      <c r="C7" s="22"/>
      <c r="D7" s="22"/>
      <c r="E7" s="22"/>
      <c r="F7" s="32"/>
      <c r="G7" s="3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  <c r="HN7" s="22"/>
      <c r="HO7" s="22"/>
      <c r="HP7" s="22"/>
      <c r="HQ7" s="22"/>
      <c r="HR7" s="22"/>
      <c r="HS7" s="22"/>
      <c r="HT7" s="22"/>
      <c r="HU7" s="22"/>
      <c r="HV7" s="22"/>
      <c r="HW7" s="22"/>
      <c r="HX7" s="22"/>
      <c r="HY7" s="22"/>
      <c r="HZ7" s="22"/>
      <c r="IA7" s="22"/>
      <c r="IB7" s="22"/>
      <c r="IC7" s="22"/>
      <c r="ID7" s="22"/>
      <c r="IE7" s="22"/>
      <c r="IF7" s="22"/>
      <c r="IG7" s="22"/>
      <c r="IH7" s="22"/>
      <c r="II7" s="22"/>
      <c r="IJ7" s="22"/>
      <c r="IK7" s="22"/>
      <c r="IL7" s="22"/>
      <c r="IM7" s="22"/>
      <c r="IN7" s="22"/>
      <c r="IO7" s="22"/>
      <c r="IP7" s="22"/>
      <c r="IQ7" s="22"/>
      <c r="IR7" s="22"/>
      <c r="IS7" s="22"/>
      <c r="IT7" s="22"/>
    </row>
    <row r="8" spans="1:254" ht="12.75" customHeight="1" x14ac:dyDescent="0.25">
      <c r="A8" s="257" t="s">
        <v>47</v>
      </c>
      <c r="B8" s="258" t="s">
        <v>110</v>
      </c>
      <c r="C8" s="258" t="s">
        <v>111</v>
      </c>
      <c r="D8" s="258" t="s">
        <v>48</v>
      </c>
      <c r="E8" s="258" t="s">
        <v>340</v>
      </c>
      <c r="F8" s="251" t="s">
        <v>852</v>
      </c>
      <c r="G8" s="251" t="s">
        <v>853</v>
      </c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  <c r="GY8" s="22"/>
      <c r="GZ8" s="22"/>
      <c r="HA8" s="22"/>
      <c r="HB8" s="22"/>
      <c r="HC8" s="22"/>
      <c r="HD8" s="22"/>
      <c r="HE8" s="22"/>
      <c r="HF8" s="22"/>
      <c r="HG8" s="22"/>
      <c r="HH8" s="22"/>
      <c r="HI8" s="22"/>
      <c r="HJ8" s="22"/>
      <c r="HK8" s="22"/>
      <c r="HL8" s="22"/>
      <c r="HM8" s="22"/>
      <c r="HN8" s="22"/>
      <c r="HO8" s="22"/>
      <c r="HP8" s="22"/>
      <c r="HQ8" s="22"/>
      <c r="HR8" s="22"/>
      <c r="HS8" s="22"/>
      <c r="HT8" s="22"/>
      <c r="HU8" s="22"/>
      <c r="HV8" s="22"/>
      <c r="HW8" s="22"/>
      <c r="HX8" s="22"/>
      <c r="HY8" s="22"/>
      <c r="HZ8" s="22"/>
      <c r="IA8" s="22"/>
      <c r="IB8" s="22"/>
      <c r="IC8" s="22"/>
      <c r="ID8" s="22"/>
      <c r="IE8" s="22"/>
      <c r="IF8" s="22"/>
      <c r="IG8" s="22"/>
      <c r="IH8" s="22"/>
      <c r="II8" s="22"/>
      <c r="IJ8" s="22"/>
      <c r="IK8" s="22"/>
      <c r="IL8" s="22"/>
      <c r="IM8" s="22"/>
      <c r="IN8" s="22"/>
      <c r="IO8" s="22"/>
      <c r="IP8" s="22"/>
      <c r="IQ8" s="22"/>
      <c r="IR8" s="22"/>
      <c r="IS8" s="22"/>
      <c r="IT8" s="22"/>
    </row>
    <row r="9" spans="1:254" ht="43.5" customHeight="1" x14ac:dyDescent="0.25">
      <c r="A9" s="257"/>
      <c r="B9" s="258"/>
      <c r="C9" s="258"/>
      <c r="D9" s="258"/>
      <c r="E9" s="258"/>
      <c r="F9" s="252"/>
      <c r="G9" s="252"/>
      <c r="H9" s="24"/>
      <c r="I9" s="24" t="s">
        <v>341</v>
      </c>
      <c r="J9" s="24" t="s">
        <v>342</v>
      </c>
      <c r="K9" s="22"/>
      <c r="L9" s="24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 s="22"/>
      <c r="FG9" s="22"/>
      <c r="FH9" s="22"/>
      <c r="FI9" s="22"/>
      <c r="FJ9" s="22"/>
      <c r="FK9" s="22"/>
      <c r="FL9" s="22"/>
      <c r="FM9" s="22"/>
      <c r="FN9" s="22"/>
      <c r="FO9" s="22"/>
      <c r="FP9" s="22"/>
      <c r="FQ9" s="22"/>
      <c r="FR9" s="22"/>
      <c r="FS9" s="22"/>
      <c r="FT9" s="22"/>
      <c r="FU9" s="22"/>
      <c r="FV9" s="22"/>
      <c r="FW9" s="22"/>
      <c r="FX9" s="22"/>
      <c r="FY9" s="22"/>
      <c r="FZ9" s="22"/>
      <c r="GA9" s="22"/>
      <c r="GB9" s="22"/>
      <c r="GC9" s="22"/>
      <c r="GD9" s="22"/>
      <c r="GE9" s="22"/>
      <c r="GF9" s="22"/>
      <c r="GG9" s="22"/>
      <c r="GH9" s="22"/>
      <c r="GI9" s="22"/>
      <c r="GJ9" s="22"/>
      <c r="GK9" s="22"/>
      <c r="GL9" s="22"/>
      <c r="GM9" s="22"/>
      <c r="GN9" s="22"/>
      <c r="GO9" s="22"/>
      <c r="GP9" s="22"/>
      <c r="GQ9" s="22"/>
      <c r="GR9" s="22"/>
      <c r="GS9" s="22"/>
      <c r="GT9" s="22"/>
      <c r="GU9" s="22"/>
      <c r="GV9" s="22"/>
      <c r="GW9" s="22"/>
      <c r="GX9" s="22"/>
      <c r="GY9" s="22"/>
      <c r="GZ9" s="22"/>
      <c r="HA9" s="22"/>
      <c r="HB9" s="22"/>
      <c r="HC9" s="22"/>
      <c r="HD9" s="22"/>
      <c r="HE9" s="22"/>
      <c r="HF9" s="22"/>
      <c r="HG9" s="22"/>
      <c r="HH9" s="22"/>
      <c r="HI9" s="22"/>
      <c r="HJ9" s="22"/>
      <c r="HK9" s="22"/>
      <c r="HL9" s="22"/>
      <c r="HM9" s="22"/>
      <c r="HN9" s="22"/>
      <c r="HO9" s="22"/>
      <c r="HP9" s="22"/>
      <c r="HQ9" s="22"/>
      <c r="HR9" s="22"/>
      <c r="HS9" s="22"/>
      <c r="HT9" s="22"/>
      <c r="HU9" s="22"/>
      <c r="HV9" s="22"/>
      <c r="HW9" s="22"/>
      <c r="HX9" s="22"/>
      <c r="HY9" s="22"/>
      <c r="HZ9" s="22"/>
      <c r="IA9" s="22"/>
      <c r="IB9" s="22"/>
      <c r="IC9" s="22"/>
      <c r="ID9" s="22"/>
      <c r="IE9" s="22"/>
      <c r="IF9" s="22"/>
      <c r="IG9" s="22"/>
      <c r="IH9" s="22"/>
      <c r="II9" s="22"/>
      <c r="IJ9" s="22"/>
      <c r="IK9" s="22"/>
      <c r="IL9" s="22"/>
      <c r="IM9" s="22"/>
      <c r="IN9" s="22"/>
      <c r="IO9" s="22"/>
      <c r="IP9" s="22"/>
      <c r="IQ9" s="22"/>
      <c r="IR9" s="22"/>
      <c r="IS9" s="22"/>
      <c r="IT9" s="22"/>
    </row>
    <row r="10" spans="1:254" s="27" customFormat="1" ht="27" customHeight="1" x14ac:dyDescent="0.3">
      <c r="A10" s="25" t="s">
        <v>49</v>
      </c>
      <c r="B10" s="26" t="s">
        <v>113</v>
      </c>
      <c r="C10" s="26" t="s">
        <v>113</v>
      </c>
      <c r="D10" s="26" t="s">
        <v>50</v>
      </c>
      <c r="E10" s="26" t="s">
        <v>51</v>
      </c>
      <c r="F10" s="238">
        <f>F11+F22+F25+F30+F35+F38+F46+F54+F59+F62+F51</f>
        <v>1133564.25</v>
      </c>
      <c r="G10" s="238">
        <f>G11+G22+G25+G30+G35+G38+G46+G54+G59+G62+G51</f>
        <v>1065830.6499999999</v>
      </c>
      <c r="H10" s="28"/>
      <c r="I10" s="28">
        <f>F12+F13+F14+F17-'[1]В-18'!G343</f>
        <v>52970.999999999993</v>
      </c>
      <c r="J10" s="27">
        <v>31556</v>
      </c>
      <c r="K10" s="24"/>
      <c r="L10" s="24"/>
    </row>
    <row r="11" spans="1:254" ht="19.5" customHeight="1" x14ac:dyDescent="0.3">
      <c r="A11" s="78" t="s">
        <v>115</v>
      </c>
      <c r="B11" s="29" t="s">
        <v>116</v>
      </c>
      <c r="C11" s="29" t="s">
        <v>113</v>
      </c>
      <c r="D11" s="29" t="s">
        <v>50</v>
      </c>
      <c r="E11" s="29" t="s">
        <v>51</v>
      </c>
      <c r="F11" s="30">
        <f>SUM(F12:F21)</f>
        <v>82451.709999999992</v>
      </c>
      <c r="G11" s="30">
        <f>G12+G14+G16+G17+G20+G21</f>
        <v>97845.959999999992</v>
      </c>
      <c r="H11" s="22"/>
      <c r="I11" s="22"/>
      <c r="J11" s="22"/>
      <c r="K11" s="28"/>
      <c r="L11" s="27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  <c r="EM11" s="22"/>
      <c r="EN11" s="22"/>
      <c r="EO11" s="22"/>
      <c r="EP11" s="22"/>
      <c r="EQ11" s="22"/>
      <c r="ER11" s="22"/>
      <c r="ES11" s="22"/>
      <c r="ET11" s="22"/>
      <c r="EU11" s="22"/>
      <c r="EV11" s="22"/>
      <c r="EW11" s="22"/>
      <c r="EX11" s="22"/>
      <c r="EY11" s="22"/>
      <c r="EZ11" s="22"/>
      <c r="FA11" s="22"/>
      <c r="FB11" s="22"/>
      <c r="FC11" s="22"/>
      <c r="FD11" s="22"/>
      <c r="FE11" s="22"/>
      <c r="FF11" s="22"/>
      <c r="FG11" s="22"/>
      <c r="FH11" s="22"/>
      <c r="FI11" s="22"/>
      <c r="FJ11" s="22"/>
      <c r="FK11" s="22"/>
      <c r="FL11" s="22"/>
      <c r="FM11" s="22"/>
      <c r="FN11" s="22"/>
      <c r="FO11" s="22"/>
      <c r="FP11" s="22"/>
      <c r="FQ11" s="22"/>
      <c r="FR11" s="22"/>
      <c r="FS11" s="22"/>
      <c r="FT11" s="22"/>
      <c r="FU11" s="22"/>
      <c r="FV11" s="22"/>
      <c r="FW11" s="22"/>
      <c r="FX11" s="22"/>
      <c r="FY11" s="22"/>
      <c r="FZ11" s="22"/>
      <c r="GA11" s="22"/>
      <c r="GB11" s="22"/>
      <c r="GC11" s="22"/>
      <c r="GD11" s="22"/>
      <c r="GE11" s="22"/>
      <c r="GF11" s="22"/>
      <c r="GG11" s="22"/>
      <c r="GH11" s="22"/>
      <c r="GI11" s="22"/>
      <c r="GJ11" s="22"/>
      <c r="GK11" s="22"/>
      <c r="GL11" s="22"/>
      <c r="GM11" s="22"/>
      <c r="GN11" s="22"/>
      <c r="GO11" s="22"/>
      <c r="GP11" s="22"/>
      <c r="GQ11" s="22"/>
      <c r="GR11" s="22"/>
      <c r="GS11" s="22"/>
      <c r="GT11" s="22"/>
      <c r="GU11" s="22"/>
      <c r="GV11" s="22"/>
      <c r="GW11" s="22"/>
      <c r="GX11" s="22"/>
      <c r="GY11" s="22"/>
      <c r="GZ11" s="22"/>
      <c r="HA11" s="22"/>
      <c r="HB11" s="22"/>
      <c r="HC11" s="22"/>
      <c r="HD11" s="22"/>
      <c r="HE11" s="22"/>
      <c r="HF11" s="22"/>
      <c r="HG11" s="22"/>
      <c r="HH11" s="22"/>
      <c r="HI11" s="22"/>
      <c r="HJ11" s="22"/>
      <c r="HK11" s="22"/>
      <c r="HL11" s="22"/>
      <c r="HM11" s="22"/>
      <c r="HN11" s="22"/>
      <c r="HO11" s="22"/>
      <c r="HP11" s="22"/>
      <c r="HQ11" s="22"/>
      <c r="HR11" s="22"/>
      <c r="HS11" s="22"/>
      <c r="HT11" s="22"/>
      <c r="HU11" s="22"/>
      <c r="HV11" s="22"/>
      <c r="HW11" s="22"/>
      <c r="HX11" s="22"/>
      <c r="HY11" s="22"/>
      <c r="HZ11" s="22"/>
      <c r="IA11" s="22"/>
      <c r="IB11" s="22"/>
      <c r="IC11" s="22"/>
      <c r="ID11" s="22"/>
      <c r="IE11" s="22"/>
      <c r="IF11" s="22"/>
      <c r="IG11" s="22"/>
      <c r="IH11" s="22"/>
      <c r="II11" s="22"/>
      <c r="IJ11" s="22"/>
      <c r="IK11" s="22"/>
      <c r="IL11" s="22"/>
      <c r="IM11" s="22"/>
      <c r="IN11" s="22"/>
      <c r="IO11" s="22"/>
      <c r="IP11" s="22"/>
      <c r="IQ11" s="22"/>
      <c r="IR11" s="22"/>
      <c r="IS11" s="22"/>
      <c r="IT11" s="22"/>
    </row>
    <row r="12" spans="1:254" ht="59.25" customHeight="1" x14ac:dyDescent="0.3">
      <c r="A12" s="78" t="s">
        <v>203</v>
      </c>
      <c r="B12" s="29" t="s">
        <v>116</v>
      </c>
      <c r="C12" s="29" t="s">
        <v>117</v>
      </c>
      <c r="D12" s="29" t="s">
        <v>50</v>
      </c>
      <c r="E12" s="29" t="s">
        <v>51</v>
      </c>
      <c r="F12" s="31">
        <f>'В-26,27'!G435</f>
        <v>1786.1</v>
      </c>
      <c r="G12" s="31">
        <f>'В-26,27'!H435</f>
        <v>1786.1</v>
      </c>
      <c r="H12" s="22"/>
      <c r="I12" s="22"/>
      <c r="J12" s="22"/>
      <c r="K12" s="3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  <c r="GN12" s="22"/>
      <c r="GO12" s="22"/>
      <c r="GP12" s="22"/>
      <c r="GQ12" s="22"/>
      <c r="GR12" s="22"/>
      <c r="GS12" s="22"/>
      <c r="GT12" s="22"/>
      <c r="GU12" s="22"/>
      <c r="GV12" s="22"/>
      <c r="GW12" s="22"/>
      <c r="GX12" s="22"/>
      <c r="GY12" s="22"/>
      <c r="GZ12" s="22"/>
      <c r="HA12" s="22"/>
      <c r="HB12" s="22"/>
      <c r="HC12" s="22"/>
      <c r="HD12" s="22"/>
      <c r="HE12" s="22"/>
      <c r="HF12" s="22"/>
      <c r="HG12" s="22"/>
      <c r="HH12" s="22"/>
      <c r="HI12" s="22"/>
      <c r="HJ12" s="22"/>
      <c r="HK12" s="22"/>
      <c r="HL12" s="22"/>
      <c r="HM12" s="22"/>
      <c r="HN12" s="22"/>
      <c r="HO12" s="22"/>
      <c r="HP12" s="22"/>
      <c r="HQ12" s="22"/>
      <c r="HR12" s="22"/>
      <c r="HS12" s="22"/>
      <c r="HT12" s="22"/>
      <c r="HU12" s="22"/>
      <c r="HV12" s="22"/>
      <c r="HW12" s="22"/>
      <c r="HX12" s="22"/>
      <c r="HY12" s="22"/>
      <c r="HZ12" s="22"/>
      <c r="IA12" s="22"/>
      <c r="IB12" s="22"/>
      <c r="IC12" s="22"/>
      <c r="ID12" s="22"/>
      <c r="IE12" s="22"/>
      <c r="IF12" s="22"/>
      <c r="IG12" s="22"/>
      <c r="IH12" s="22"/>
      <c r="II12" s="22"/>
      <c r="IJ12" s="22"/>
      <c r="IK12" s="22"/>
      <c r="IL12" s="22"/>
      <c r="IM12" s="22"/>
      <c r="IN12" s="22"/>
      <c r="IO12" s="22"/>
      <c r="IP12" s="22"/>
      <c r="IQ12" s="22"/>
      <c r="IR12" s="22"/>
      <c r="IS12" s="22"/>
      <c r="IT12" s="22"/>
    </row>
    <row r="13" spans="1:254" ht="73.5" hidden="1" customHeight="1" outlineLevel="1" x14ac:dyDescent="0.3">
      <c r="A13" s="78" t="s">
        <v>343</v>
      </c>
      <c r="B13" s="29" t="s">
        <v>116</v>
      </c>
      <c r="C13" s="29" t="s">
        <v>118</v>
      </c>
      <c r="D13" s="29" t="s">
        <v>50</v>
      </c>
      <c r="E13" s="29" t="s">
        <v>51</v>
      </c>
      <c r="F13" s="30">
        <v>0</v>
      </c>
      <c r="G13" s="30">
        <v>0</v>
      </c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  <c r="HE13" s="22"/>
      <c r="HF13" s="22"/>
      <c r="HG13" s="22"/>
      <c r="HH13" s="22"/>
      <c r="HI13" s="22"/>
      <c r="HJ13" s="22"/>
      <c r="HK13" s="22"/>
      <c r="HL13" s="22"/>
      <c r="HM13" s="22"/>
      <c r="HN13" s="22"/>
      <c r="HO13" s="22"/>
      <c r="HP13" s="22"/>
      <c r="HQ13" s="22"/>
      <c r="HR13" s="22"/>
      <c r="HS13" s="22"/>
      <c r="HT13" s="22"/>
      <c r="HU13" s="22"/>
      <c r="HV13" s="22"/>
      <c r="HW13" s="22"/>
      <c r="HX13" s="22"/>
      <c r="HY13" s="22"/>
      <c r="HZ13" s="22"/>
      <c r="IA13" s="22"/>
      <c r="IB13" s="22"/>
      <c r="IC13" s="22"/>
      <c r="ID13" s="22"/>
      <c r="IE13" s="22"/>
      <c r="IF13" s="22"/>
      <c r="IG13" s="22"/>
      <c r="IH13" s="22"/>
      <c r="II13" s="22"/>
      <c r="IJ13" s="22"/>
      <c r="IK13" s="22"/>
      <c r="IL13" s="22"/>
      <c r="IM13" s="22"/>
      <c r="IN13" s="22"/>
      <c r="IO13" s="22"/>
      <c r="IP13" s="22"/>
      <c r="IQ13" s="22"/>
      <c r="IR13" s="22"/>
      <c r="IS13" s="22"/>
      <c r="IT13" s="22"/>
    </row>
    <row r="14" spans="1:254" ht="96.75" customHeight="1" collapsed="1" x14ac:dyDescent="0.3">
      <c r="A14" s="78" t="s">
        <v>121</v>
      </c>
      <c r="B14" s="29" t="s">
        <v>116</v>
      </c>
      <c r="C14" s="29" t="s">
        <v>122</v>
      </c>
      <c r="D14" s="29" t="s">
        <v>50</v>
      </c>
      <c r="E14" s="29" t="s">
        <v>51</v>
      </c>
      <c r="F14" s="30">
        <f>'В-26,27'!G21+'В-26,27'!G337+'В-26,27'!G443</f>
        <v>52432.899999999994</v>
      </c>
      <c r="G14" s="30">
        <f>'В-26,27'!H21+'В-26,27'!H337+'В-26,27'!H443</f>
        <v>52119.899999999994</v>
      </c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  <c r="EM14" s="22"/>
      <c r="EN14" s="22"/>
      <c r="EO14" s="22"/>
      <c r="EP14" s="22"/>
      <c r="EQ14" s="22"/>
      <c r="ER14" s="22"/>
      <c r="ES14" s="22"/>
      <c r="ET14" s="22"/>
      <c r="EU14" s="22"/>
      <c r="EV14" s="22"/>
      <c r="EW14" s="22"/>
      <c r="EX14" s="22"/>
      <c r="EY14" s="22"/>
      <c r="EZ14" s="22"/>
      <c r="FA14" s="22"/>
      <c r="FB14" s="22"/>
      <c r="FC14" s="22"/>
      <c r="FD14" s="22"/>
      <c r="FE14" s="22"/>
      <c r="FF14" s="22"/>
      <c r="FG14" s="22"/>
      <c r="FH14" s="22"/>
      <c r="FI14" s="22"/>
      <c r="FJ14" s="22"/>
      <c r="FK14" s="22"/>
      <c r="FL14" s="22"/>
      <c r="FM14" s="22"/>
      <c r="FN14" s="22"/>
      <c r="FO14" s="22"/>
      <c r="FP14" s="22"/>
      <c r="FQ14" s="22"/>
      <c r="FR14" s="22"/>
      <c r="FS14" s="22"/>
      <c r="FT14" s="22"/>
      <c r="FU14" s="22"/>
      <c r="FV14" s="22"/>
      <c r="FW14" s="22"/>
      <c r="FX14" s="22"/>
      <c r="FY14" s="22"/>
      <c r="FZ14" s="22"/>
      <c r="GA14" s="22"/>
      <c r="GB14" s="22"/>
      <c r="GC14" s="22"/>
      <c r="GD14" s="22"/>
      <c r="GE14" s="22"/>
      <c r="GF14" s="22"/>
      <c r="GG14" s="22"/>
      <c r="GH14" s="22"/>
      <c r="GI14" s="22"/>
      <c r="GJ14" s="22"/>
      <c r="GK14" s="22"/>
      <c r="GL14" s="22"/>
      <c r="GM14" s="22"/>
      <c r="GN14" s="22"/>
      <c r="GO14" s="22"/>
      <c r="GP14" s="22"/>
      <c r="GQ14" s="22"/>
      <c r="GR14" s="22"/>
      <c r="GS14" s="22"/>
      <c r="GT14" s="22"/>
      <c r="GU14" s="22"/>
      <c r="GV14" s="22"/>
      <c r="GW14" s="22"/>
      <c r="GX14" s="22"/>
      <c r="GY14" s="22"/>
      <c r="GZ14" s="22"/>
      <c r="HA14" s="22"/>
      <c r="HB14" s="22"/>
      <c r="HC14" s="22"/>
      <c r="HD14" s="22"/>
      <c r="HE14" s="22"/>
      <c r="HF14" s="22"/>
      <c r="HG14" s="22"/>
      <c r="HH14" s="22"/>
      <c r="HI14" s="22"/>
      <c r="HJ14" s="22"/>
      <c r="HK14" s="22"/>
      <c r="HL14" s="22"/>
      <c r="HM14" s="22"/>
      <c r="HN14" s="22"/>
      <c r="HO14" s="22"/>
      <c r="HP14" s="22"/>
      <c r="HQ14" s="22"/>
      <c r="HR14" s="22"/>
      <c r="HS14" s="22"/>
      <c r="HT14" s="22"/>
      <c r="HU14" s="22"/>
      <c r="HV14" s="22"/>
      <c r="HW14" s="22"/>
      <c r="HX14" s="22"/>
      <c r="HY14" s="22"/>
      <c r="HZ14" s="22"/>
      <c r="IA14" s="22"/>
      <c r="IB14" s="22"/>
      <c r="IC14" s="22"/>
      <c r="ID14" s="22"/>
      <c r="IE14" s="22"/>
      <c r="IF14" s="22"/>
      <c r="IG14" s="22"/>
      <c r="IH14" s="22"/>
      <c r="II14" s="22"/>
      <c r="IJ14" s="22"/>
      <c r="IK14" s="22"/>
      <c r="IL14" s="22"/>
      <c r="IM14" s="22"/>
      <c r="IN14" s="22"/>
      <c r="IO14" s="22"/>
      <c r="IP14" s="22"/>
      <c r="IQ14" s="22"/>
      <c r="IR14" s="22"/>
      <c r="IS14" s="22"/>
      <c r="IT14" s="22"/>
    </row>
    <row r="15" spans="1:254" ht="18.75" hidden="1" customHeight="1" x14ac:dyDescent="0.3">
      <c r="A15" s="78" t="s">
        <v>210</v>
      </c>
      <c r="B15" s="29" t="s">
        <v>116</v>
      </c>
      <c r="C15" s="29" t="s">
        <v>211</v>
      </c>
      <c r="D15" s="29" t="s">
        <v>50</v>
      </c>
      <c r="E15" s="29" t="s">
        <v>51</v>
      </c>
      <c r="F15" s="30"/>
      <c r="G15" s="30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  <c r="EM15" s="22"/>
      <c r="EN15" s="22"/>
      <c r="EO15" s="22"/>
      <c r="EP15" s="22"/>
      <c r="EQ15" s="22"/>
      <c r="ER15" s="22"/>
      <c r="ES15" s="22"/>
      <c r="ET15" s="22"/>
      <c r="EU15" s="22"/>
      <c r="EV15" s="22"/>
      <c r="EW15" s="22"/>
      <c r="EX15" s="22"/>
      <c r="EY15" s="22"/>
      <c r="EZ15" s="22"/>
      <c r="FA15" s="22"/>
      <c r="FB15" s="22"/>
      <c r="FC15" s="22"/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22"/>
      <c r="FQ15" s="22"/>
      <c r="FR15" s="22"/>
      <c r="FS15" s="22"/>
      <c r="FT15" s="22"/>
      <c r="FU15" s="22"/>
      <c r="FV15" s="22"/>
      <c r="FW15" s="22"/>
      <c r="FX15" s="22"/>
      <c r="FY15" s="22"/>
      <c r="FZ15" s="22"/>
      <c r="GA15" s="22"/>
      <c r="GB15" s="22"/>
      <c r="GC15" s="22"/>
      <c r="GD15" s="22"/>
      <c r="GE15" s="22"/>
      <c r="GF15" s="22"/>
      <c r="GG15" s="22"/>
      <c r="GH15" s="22"/>
      <c r="GI15" s="22"/>
      <c r="GJ15" s="22"/>
      <c r="GK15" s="22"/>
      <c r="GL15" s="22"/>
      <c r="GM15" s="22"/>
      <c r="GN15" s="22"/>
      <c r="GO15" s="22"/>
      <c r="GP15" s="22"/>
      <c r="GQ15" s="22"/>
      <c r="GR15" s="22"/>
      <c r="GS15" s="22"/>
      <c r="GT15" s="22"/>
      <c r="GU15" s="22"/>
      <c r="GV15" s="22"/>
      <c r="GW15" s="22"/>
      <c r="GX15" s="22"/>
      <c r="GY15" s="22"/>
      <c r="GZ15" s="22"/>
      <c r="HA15" s="22"/>
      <c r="HB15" s="22"/>
      <c r="HC15" s="22"/>
      <c r="HD15" s="22"/>
      <c r="HE15" s="22"/>
      <c r="HF15" s="22"/>
      <c r="HG15" s="22"/>
      <c r="HH15" s="22"/>
      <c r="HI15" s="22"/>
      <c r="HJ15" s="22"/>
      <c r="HK15" s="22"/>
      <c r="HL15" s="22"/>
      <c r="HM15" s="22"/>
      <c r="HN15" s="22"/>
      <c r="HO15" s="22"/>
      <c r="HP15" s="22"/>
      <c r="HQ15" s="22"/>
      <c r="HR15" s="22"/>
      <c r="HS15" s="22"/>
      <c r="HT15" s="22"/>
      <c r="HU15" s="22"/>
      <c r="HV15" s="22"/>
      <c r="HW15" s="22"/>
      <c r="HX15" s="22"/>
      <c r="HY15" s="22"/>
      <c r="HZ15" s="22"/>
      <c r="IA15" s="22"/>
      <c r="IB15" s="22"/>
      <c r="IC15" s="22"/>
      <c r="ID15" s="22"/>
      <c r="IE15" s="22"/>
      <c r="IF15" s="22"/>
      <c r="IG15" s="22"/>
      <c r="IH15" s="22"/>
      <c r="II15" s="22"/>
      <c r="IJ15" s="22"/>
      <c r="IK15" s="22"/>
      <c r="IL15" s="22"/>
      <c r="IM15" s="22"/>
      <c r="IN15" s="22"/>
      <c r="IO15" s="22"/>
      <c r="IP15" s="22"/>
      <c r="IQ15" s="22"/>
      <c r="IR15" s="22"/>
      <c r="IS15" s="22"/>
      <c r="IT15" s="22"/>
    </row>
    <row r="16" spans="1:254" ht="21.75" customHeight="1" x14ac:dyDescent="0.3">
      <c r="A16" s="78" t="s">
        <v>210</v>
      </c>
      <c r="B16" s="29" t="s">
        <v>116</v>
      </c>
      <c r="C16" s="29" t="s">
        <v>211</v>
      </c>
      <c r="D16" s="29" t="s">
        <v>50</v>
      </c>
      <c r="E16" s="29" t="s">
        <v>51</v>
      </c>
      <c r="F16" s="30">
        <f>'В-26,27'!G472</f>
        <v>19.91</v>
      </c>
      <c r="G16" s="30">
        <f>'В-26,27'!H472</f>
        <v>9.66</v>
      </c>
      <c r="H16" s="30">
        <f>'В-26,27'!I472</f>
        <v>0</v>
      </c>
      <c r="I16" s="30">
        <f>'В-26,27'!J472</f>
        <v>0</v>
      </c>
      <c r="J16" s="30">
        <f>'В-26,27'!K472</f>
        <v>0</v>
      </c>
      <c r="K16" s="30">
        <f>'В-26,27'!L472</f>
        <v>0</v>
      </c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22"/>
      <c r="ED16" s="22"/>
      <c r="EE16" s="22"/>
      <c r="EF16" s="22"/>
      <c r="EG16" s="22"/>
      <c r="EH16" s="22"/>
      <c r="EI16" s="22"/>
      <c r="EJ16" s="22"/>
      <c r="EK16" s="22"/>
      <c r="EL16" s="22"/>
      <c r="EM16" s="22"/>
      <c r="EN16" s="22"/>
      <c r="EO16" s="22"/>
      <c r="EP16" s="22"/>
      <c r="EQ16" s="22"/>
      <c r="ER16" s="22"/>
      <c r="ES16" s="22"/>
      <c r="ET16" s="22"/>
      <c r="EU16" s="22"/>
      <c r="EV16" s="22"/>
      <c r="EW16" s="22"/>
      <c r="EX16" s="22"/>
      <c r="EY16" s="22"/>
      <c r="EZ16" s="22"/>
      <c r="FA16" s="22"/>
      <c r="FB16" s="22"/>
      <c r="FC16" s="22"/>
      <c r="FD16" s="22"/>
      <c r="FE16" s="22"/>
      <c r="FF16" s="22"/>
      <c r="FG16" s="22"/>
      <c r="FH16" s="22"/>
      <c r="FI16" s="22"/>
      <c r="FJ16" s="22"/>
      <c r="FK16" s="22"/>
      <c r="FL16" s="22"/>
      <c r="FM16" s="22"/>
      <c r="FN16" s="22"/>
      <c r="FO16" s="22"/>
      <c r="FP16" s="22"/>
      <c r="FQ16" s="22"/>
      <c r="FR16" s="22"/>
      <c r="FS16" s="22"/>
      <c r="FT16" s="22"/>
      <c r="FU16" s="22"/>
      <c r="FV16" s="22"/>
      <c r="FW16" s="22"/>
      <c r="FX16" s="22"/>
      <c r="FY16" s="22"/>
      <c r="FZ16" s="22"/>
      <c r="GA16" s="22"/>
      <c r="GB16" s="22"/>
      <c r="GC16" s="22"/>
      <c r="GD16" s="22"/>
      <c r="GE16" s="22"/>
      <c r="GF16" s="22"/>
      <c r="GG16" s="22"/>
      <c r="GH16" s="22"/>
      <c r="GI16" s="22"/>
      <c r="GJ16" s="22"/>
      <c r="GK16" s="22"/>
      <c r="GL16" s="22"/>
      <c r="GM16" s="22"/>
      <c r="GN16" s="22"/>
      <c r="GO16" s="22"/>
      <c r="GP16" s="22"/>
      <c r="GQ16" s="22"/>
      <c r="GR16" s="22"/>
      <c r="GS16" s="22"/>
      <c r="GT16" s="22"/>
      <c r="GU16" s="22"/>
      <c r="GV16" s="22"/>
      <c r="GW16" s="22"/>
      <c r="GX16" s="22"/>
      <c r="GY16" s="22"/>
      <c r="GZ16" s="22"/>
      <c r="HA16" s="22"/>
      <c r="HB16" s="22"/>
      <c r="HC16" s="22"/>
      <c r="HD16" s="22"/>
      <c r="HE16" s="22"/>
      <c r="HF16" s="22"/>
      <c r="HG16" s="22"/>
      <c r="HH16" s="22"/>
      <c r="HI16" s="22"/>
      <c r="HJ16" s="22"/>
      <c r="HK16" s="22"/>
      <c r="HL16" s="22"/>
      <c r="HM16" s="22"/>
      <c r="HN16" s="22"/>
      <c r="HO16" s="22"/>
      <c r="HP16" s="22"/>
      <c r="HQ16" s="22"/>
      <c r="HR16" s="22"/>
      <c r="HS16" s="22"/>
      <c r="HT16" s="22"/>
      <c r="HU16" s="22"/>
      <c r="HV16" s="22"/>
      <c r="HW16" s="22"/>
      <c r="HX16" s="22"/>
      <c r="HY16" s="22"/>
      <c r="HZ16" s="22"/>
      <c r="IA16" s="22"/>
      <c r="IB16" s="22"/>
      <c r="IC16" s="22"/>
      <c r="ID16" s="22"/>
      <c r="IE16" s="22"/>
      <c r="IF16" s="22"/>
      <c r="IG16" s="22"/>
      <c r="IH16" s="22"/>
      <c r="II16" s="22"/>
      <c r="IJ16" s="22"/>
      <c r="IK16" s="22"/>
      <c r="IL16" s="22"/>
      <c r="IM16" s="22"/>
      <c r="IN16" s="22"/>
      <c r="IO16" s="22"/>
      <c r="IP16" s="22"/>
      <c r="IQ16" s="22"/>
      <c r="IR16" s="22"/>
      <c r="IS16" s="22"/>
      <c r="IT16" s="22"/>
    </row>
    <row r="17" spans="1:254" ht="63.75" customHeight="1" x14ac:dyDescent="0.3">
      <c r="A17" s="33" t="s">
        <v>119</v>
      </c>
      <c r="B17" s="29" t="s">
        <v>116</v>
      </c>
      <c r="C17" s="29" t="s">
        <v>120</v>
      </c>
      <c r="D17" s="29" t="s">
        <v>50</v>
      </c>
      <c r="E17" s="79" t="s">
        <v>51</v>
      </c>
      <c r="F17" s="30">
        <f>'В-26,27'!G1250</f>
        <v>1100</v>
      </c>
      <c r="G17" s="30">
        <f>'В-26,27'!H1250</f>
        <v>1100</v>
      </c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  <c r="EM17" s="22"/>
      <c r="EN17" s="22"/>
      <c r="EO17" s="22"/>
      <c r="EP17" s="22"/>
      <c r="EQ17" s="22"/>
      <c r="ER17" s="22"/>
      <c r="ES17" s="22"/>
      <c r="ET17" s="22"/>
      <c r="EU17" s="22"/>
      <c r="EV17" s="22"/>
      <c r="EW17" s="22"/>
      <c r="EX17" s="22"/>
      <c r="EY17" s="22"/>
      <c r="EZ17" s="22"/>
      <c r="FA17" s="22"/>
      <c r="FB17" s="22"/>
      <c r="FC17" s="22"/>
      <c r="FD17" s="22"/>
      <c r="FE17" s="22"/>
      <c r="FF17" s="22"/>
      <c r="FG17" s="22"/>
      <c r="FH17" s="22"/>
      <c r="FI17" s="22"/>
      <c r="FJ17" s="22"/>
      <c r="FK17" s="22"/>
      <c r="FL17" s="22"/>
      <c r="FM17" s="22"/>
      <c r="FN17" s="22"/>
      <c r="FO17" s="22"/>
      <c r="FP17" s="22"/>
      <c r="FQ17" s="22"/>
      <c r="FR17" s="22"/>
      <c r="FS17" s="22"/>
      <c r="FT17" s="22"/>
      <c r="FU17" s="22"/>
      <c r="FV17" s="22"/>
      <c r="FW17" s="22"/>
      <c r="FX17" s="22"/>
      <c r="FY17" s="22"/>
      <c r="FZ17" s="22"/>
      <c r="GA17" s="22"/>
      <c r="GB17" s="22"/>
      <c r="GC17" s="22"/>
      <c r="GD17" s="22"/>
      <c r="GE17" s="22"/>
      <c r="GF17" s="22"/>
      <c r="GG17" s="22"/>
      <c r="GH17" s="22"/>
      <c r="GI17" s="22"/>
      <c r="GJ17" s="22"/>
      <c r="GK17" s="22"/>
      <c r="GL17" s="22"/>
      <c r="GM17" s="22"/>
      <c r="GN17" s="22"/>
      <c r="GO17" s="22"/>
      <c r="GP17" s="22"/>
      <c r="GQ17" s="22"/>
      <c r="GR17" s="22"/>
      <c r="GS17" s="22"/>
      <c r="GT17" s="22"/>
      <c r="GU17" s="22"/>
      <c r="GV17" s="22"/>
      <c r="GW17" s="22"/>
      <c r="GX17" s="22"/>
      <c r="GY17" s="22"/>
      <c r="GZ17" s="22"/>
      <c r="HA17" s="22"/>
      <c r="HB17" s="22"/>
      <c r="HC17" s="22"/>
      <c r="HD17" s="22"/>
      <c r="HE17" s="22"/>
      <c r="HF17" s="22"/>
      <c r="HG17" s="22"/>
      <c r="HH17" s="22"/>
      <c r="HI17" s="22"/>
      <c r="HJ17" s="22"/>
      <c r="HK17" s="22"/>
      <c r="HL17" s="22"/>
      <c r="HM17" s="22"/>
      <c r="HN17" s="22"/>
      <c r="HO17" s="22"/>
      <c r="HP17" s="22"/>
      <c r="HQ17" s="22"/>
      <c r="HR17" s="22"/>
      <c r="HS17" s="22"/>
      <c r="HT17" s="22"/>
      <c r="HU17" s="22"/>
      <c r="HV17" s="22"/>
      <c r="HW17" s="22"/>
      <c r="HX17" s="22"/>
      <c r="HY17" s="22"/>
      <c r="HZ17" s="22"/>
      <c r="IA17" s="22"/>
      <c r="IB17" s="22"/>
      <c r="IC17" s="22"/>
      <c r="ID17" s="22"/>
      <c r="IE17" s="22"/>
      <c r="IF17" s="22"/>
      <c r="IG17" s="22"/>
      <c r="IH17" s="22"/>
      <c r="II17" s="22"/>
      <c r="IJ17" s="22"/>
      <c r="IK17" s="22"/>
      <c r="IL17" s="22"/>
      <c r="IM17" s="22"/>
      <c r="IN17" s="22"/>
      <c r="IO17" s="22"/>
      <c r="IP17" s="22"/>
      <c r="IQ17" s="22"/>
      <c r="IR17" s="22"/>
      <c r="IS17" s="22"/>
      <c r="IT17" s="22"/>
    </row>
    <row r="18" spans="1:254" ht="36.75" hidden="1" customHeight="1" x14ac:dyDescent="0.3">
      <c r="A18" s="33" t="s">
        <v>344</v>
      </c>
      <c r="B18" s="29" t="s">
        <v>116</v>
      </c>
      <c r="C18" s="29" t="s">
        <v>124</v>
      </c>
      <c r="D18" s="29" t="s">
        <v>50</v>
      </c>
      <c r="E18" s="79" t="s">
        <v>51</v>
      </c>
      <c r="F18" s="30"/>
      <c r="G18" s="30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  <c r="EM18" s="22"/>
      <c r="EN18" s="22"/>
      <c r="EO18" s="22"/>
      <c r="EP18" s="22"/>
      <c r="EQ18" s="22"/>
      <c r="ER18" s="22"/>
      <c r="ES18" s="22"/>
      <c r="ET18" s="22"/>
      <c r="EU18" s="22"/>
      <c r="EV18" s="22"/>
      <c r="EW18" s="22"/>
      <c r="EX18" s="22"/>
      <c r="EY18" s="22"/>
      <c r="EZ18" s="22"/>
      <c r="FA18" s="22"/>
      <c r="FB18" s="22"/>
      <c r="FC18" s="22"/>
      <c r="FD18" s="22"/>
      <c r="FE18" s="22"/>
      <c r="FF18" s="22"/>
      <c r="FG18" s="22"/>
      <c r="FH18" s="22"/>
      <c r="FI18" s="22"/>
      <c r="FJ18" s="22"/>
      <c r="FK18" s="22"/>
      <c r="FL18" s="22"/>
      <c r="FM18" s="22"/>
      <c r="FN18" s="22"/>
      <c r="FO18" s="22"/>
      <c r="FP18" s="22"/>
      <c r="FQ18" s="22"/>
      <c r="FR18" s="22"/>
      <c r="FS18" s="22"/>
      <c r="FT18" s="22"/>
      <c r="FU18" s="22"/>
      <c r="FV18" s="22"/>
      <c r="FW18" s="22"/>
      <c r="FX18" s="22"/>
      <c r="FY18" s="22"/>
      <c r="FZ18" s="22"/>
      <c r="GA18" s="22"/>
      <c r="GB18" s="22"/>
      <c r="GC18" s="22"/>
      <c r="GD18" s="22"/>
      <c r="GE18" s="22"/>
      <c r="GF18" s="22"/>
      <c r="GG18" s="22"/>
      <c r="GH18" s="22"/>
      <c r="GI18" s="22"/>
      <c r="GJ18" s="22"/>
      <c r="GK18" s="22"/>
      <c r="GL18" s="22"/>
      <c r="GM18" s="22"/>
      <c r="GN18" s="22"/>
      <c r="GO18" s="22"/>
      <c r="GP18" s="22"/>
      <c r="GQ18" s="22"/>
      <c r="GR18" s="22"/>
      <c r="GS18" s="22"/>
      <c r="GT18" s="22"/>
      <c r="GU18" s="22"/>
      <c r="GV18" s="22"/>
      <c r="GW18" s="22"/>
      <c r="GX18" s="22"/>
      <c r="GY18" s="22"/>
      <c r="GZ18" s="22"/>
      <c r="HA18" s="22"/>
      <c r="HB18" s="22"/>
      <c r="HC18" s="22"/>
      <c r="HD18" s="22"/>
      <c r="HE18" s="22"/>
      <c r="HF18" s="22"/>
      <c r="HG18" s="22"/>
      <c r="HH18" s="22"/>
      <c r="HI18" s="22"/>
      <c r="HJ18" s="22"/>
      <c r="HK18" s="22"/>
      <c r="HL18" s="22"/>
      <c r="HM18" s="22"/>
      <c r="HN18" s="22"/>
      <c r="HO18" s="22"/>
      <c r="HP18" s="22"/>
      <c r="HQ18" s="22"/>
      <c r="HR18" s="22"/>
      <c r="HS18" s="22"/>
      <c r="HT18" s="22"/>
      <c r="HU18" s="22"/>
      <c r="HV18" s="22"/>
      <c r="HW18" s="22"/>
      <c r="HX18" s="22"/>
      <c r="HY18" s="22"/>
      <c r="HZ18" s="22"/>
      <c r="IA18" s="22"/>
      <c r="IB18" s="22"/>
      <c r="IC18" s="22"/>
      <c r="ID18" s="22"/>
      <c r="IE18" s="22"/>
      <c r="IF18" s="22"/>
      <c r="IG18" s="22"/>
      <c r="IH18" s="22"/>
      <c r="II18" s="22"/>
      <c r="IJ18" s="22"/>
      <c r="IK18" s="22"/>
      <c r="IL18" s="22"/>
      <c r="IM18" s="22"/>
      <c r="IN18" s="22"/>
      <c r="IO18" s="22"/>
      <c r="IP18" s="22"/>
      <c r="IQ18" s="22"/>
      <c r="IR18" s="22"/>
      <c r="IS18" s="22"/>
      <c r="IT18" s="22"/>
    </row>
    <row r="19" spans="1:254" ht="42" hidden="1" customHeight="1" x14ac:dyDescent="0.3">
      <c r="A19" s="33" t="s">
        <v>344</v>
      </c>
      <c r="B19" s="29" t="s">
        <v>116</v>
      </c>
      <c r="C19" s="29" t="s">
        <v>124</v>
      </c>
      <c r="D19" s="29" t="s">
        <v>50</v>
      </c>
      <c r="E19" s="79" t="s">
        <v>51</v>
      </c>
      <c r="F19" s="30">
        <f>'В-26,27'!G477</f>
        <v>0</v>
      </c>
      <c r="G19" s="30">
        <f>'В-26,27'!H477</f>
        <v>-478.33600000000001</v>
      </c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  <c r="EM19" s="22"/>
      <c r="EN19" s="22"/>
      <c r="EO19" s="22"/>
      <c r="EP19" s="22"/>
      <c r="EQ19" s="22"/>
      <c r="ER19" s="22"/>
      <c r="ES19" s="22"/>
      <c r="ET19" s="22"/>
      <c r="EU19" s="22"/>
      <c r="EV19" s="22"/>
      <c r="EW19" s="22"/>
      <c r="EX19" s="22"/>
      <c r="EY19" s="22"/>
      <c r="EZ19" s="22"/>
      <c r="FA19" s="22"/>
      <c r="FB19" s="22"/>
      <c r="FC19" s="22"/>
      <c r="FD19" s="22"/>
      <c r="FE19" s="22"/>
      <c r="FF19" s="22"/>
      <c r="FG19" s="22"/>
      <c r="FH19" s="22"/>
      <c r="FI19" s="22"/>
      <c r="FJ19" s="22"/>
      <c r="FK19" s="22"/>
      <c r="FL19" s="22"/>
      <c r="FM19" s="22"/>
      <c r="FN19" s="22"/>
      <c r="FO19" s="22"/>
      <c r="FP19" s="22"/>
      <c r="FQ19" s="22"/>
      <c r="FR19" s="22"/>
      <c r="FS19" s="22"/>
      <c r="FT19" s="22"/>
      <c r="FU19" s="22"/>
      <c r="FV19" s="22"/>
      <c r="FW19" s="22"/>
      <c r="FX19" s="22"/>
      <c r="FY19" s="22"/>
      <c r="FZ19" s="22"/>
      <c r="GA19" s="22"/>
      <c r="GB19" s="22"/>
      <c r="GC19" s="22"/>
      <c r="GD19" s="22"/>
      <c r="GE19" s="22"/>
      <c r="GF19" s="22"/>
      <c r="GG19" s="22"/>
      <c r="GH19" s="22"/>
      <c r="GI19" s="22"/>
      <c r="GJ19" s="22"/>
      <c r="GK19" s="22"/>
      <c r="GL19" s="22"/>
      <c r="GM19" s="22"/>
      <c r="GN19" s="22"/>
      <c r="GO19" s="22"/>
      <c r="GP19" s="22"/>
      <c r="GQ19" s="22"/>
      <c r="GR19" s="22"/>
      <c r="GS19" s="22"/>
      <c r="GT19" s="22"/>
      <c r="GU19" s="22"/>
      <c r="GV19" s="22"/>
      <c r="GW19" s="22"/>
      <c r="GX19" s="22"/>
      <c r="GY19" s="22"/>
      <c r="GZ19" s="22"/>
      <c r="HA19" s="22"/>
      <c r="HB19" s="22"/>
      <c r="HC19" s="22"/>
      <c r="HD19" s="22"/>
      <c r="HE19" s="22"/>
      <c r="HF19" s="22"/>
      <c r="HG19" s="22"/>
      <c r="HH19" s="22"/>
      <c r="HI19" s="22"/>
      <c r="HJ19" s="22"/>
      <c r="HK19" s="22"/>
      <c r="HL19" s="22"/>
      <c r="HM19" s="22"/>
      <c r="HN19" s="22"/>
      <c r="HO19" s="22"/>
      <c r="HP19" s="22"/>
      <c r="HQ19" s="22"/>
      <c r="HR19" s="22"/>
      <c r="HS19" s="22"/>
      <c r="HT19" s="22"/>
      <c r="HU19" s="22"/>
      <c r="HV19" s="22"/>
      <c r="HW19" s="22"/>
      <c r="HX19" s="22"/>
      <c r="HY19" s="22"/>
      <c r="HZ19" s="22"/>
      <c r="IA19" s="22"/>
      <c r="IB19" s="22"/>
      <c r="IC19" s="22"/>
      <c r="ID19" s="22"/>
      <c r="IE19" s="22"/>
      <c r="IF19" s="22"/>
      <c r="IG19" s="22"/>
      <c r="IH19" s="22"/>
      <c r="II19" s="22"/>
      <c r="IJ19" s="22"/>
      <c r="IK19" s="22"/>
      <c r="IL19" s="22"/>
      <c r="IM19" s="22"/>
      <c r="IN19" s="22"/>
      <c r="IO19" s="22"/>
      <c r="IP19" s="22"/>
      <c r="IQ19" s="22"/>
      <c r="IR19" s="22"/>
      <c r="IS19" s="22"/>
      <c r="IT19" s="22"/>
    </row>
    <row r="20" spans="1:254" ht="21" customHeight="1" x14ac:dyDescent="0.3">
      <c r="A20" s="33" t="s">
        <v>184</v>
      </c>
      <c r="B20" s="29" t="s">
        <v>116</v>
      </c>
      <c r="C20" s="79" t="s">
        <v>185</v>
      </c>
      <c r="D20" s="29" t="s">
        <v>50</v>
      </c>
      <c r="E20" s="29" t="s">
        <v>51</v>
      </c>
      <c r="F20" s="30">
        <f>'В-26,27'!G350</f>
        <v>100</v>
      </c>
      <c r="G20" s="30">
        <f>'В-26,27'!H350</f>
        <v>100</v>
      </c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  <c r="EM20" s="22"/>
      <c r="EN20" s="22"/>
      <c r="EO20" s="22"/>
      <c r="EP20" s="22"/>
      <c r="EQ20" s="22"/>
      <c r="ER20" s="22"/>
      <c r="ES20" s="22"/>
      <c r="ET20" s="22"/>
      <c r="EU20" s="22"/>
      <c r="EV20" s="22"/>
      <c r="EW20" s="22"/>
      <c r="EX20" s="22"/>
      <c r="EY20" s="22"/>
      <c r="EZ20" s="22"/>
      <c r="FA20" s="22"/>
      <c r="FB20" s="22"/>
      <c r="FC20" s="22"/>
      <c r="FD20" s="22"/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22"/>
      <c r="FQ20" s="22"/>
      <c r="FR20" s="22"/>
      <c r="FS20" s="22"/>
      <c r="FT20" s="22"/>
      <c r="FU20" s="22"/>
      <c r="FV20" s="22"/>
      <c r="FW20" s="22"/>
      <c r="FX20" s="22"/>
      <c r="FY20" s="22"/>
      <c r="FZ20" s="22"/>
      <c r="GA20" s="22"/>
      <c r="GB20" s="22"/>
      <c r="GC20" s="22"/>
      <c r="GD20" s="22"/>
      <c r="GE20" s="22"/>
      <c r="GF20" s="22"/>
      <c r="GG20" s="22"/>
      <c r="GH20" s="22"/>
      <c r="GI20" s="22"/>
      <c r="GJ20" s="22"/>
      <c r="GK20" s="22"/>
      <c r="GL20" s="22"/>
      <c r="GM20" s="22"/>
      <c r="GN20" s="22"/>
      <c r="GO20" s="22"/>
      <c r="GP20" s="22"/>
      <c r="GQ20" s="22"/>
      <c r="GR20" s="22"/>
      <c r="GS20" s="22"/>
      <c r="GT20" s="22"/>
      <c r="GU20" s="22"/>
      <c r="GV20" s="22"/>
      <c r="GW20" s="22"/>
      <c r="GX20" s="22"/>
      <c r="GY20" s="22"/>
      <c r="GZ20" s="22"/>
      <c r="HA20" s="22"/>
      <c r="HB20" s="22"/>
      <c r="HC20" s="22"/>
      <c r="HD20" s="22"/>
      <c r="HE20" s="22"/>
      <c r="HF20" s="22"/>
      <c r="HG20" s="22"/>
      <c r="HH20" s="22"/>
      <c r="HI20" s="22"/>
      <c r="HJ20" s="22"/>
      <c r="HK20" s="22"/>
      <c r="HL20" s="22"/>
      <c r="HM20" s="22"/>
      <c r="HN20" s="22"/>
      <c r="HO20" s="22"/>
      <c r="HP20" s="22"/>
      <c r="HQ20" s="22"/>
      <c r="HR20" s="22"/>
      <c r="HS20" s="22"/>
      <c r="HT20" s="22"/>
      <c r="HU20" s="22"/>
      <c r="HV20" s="22"/>
      <c r="HW20" s="22"/>
      <c r="HX20" s="22"/>
      <c r="HY20" s="22"/>
      <c r="HZ20" s="22"/>
      <c r="IA20" s="22"/>
      <c r="IB20" s="22"/>
      <c r="IC20" s="22"/>
      <c r="ID20" s="22"/>
      <c r="IE20" s="22"/>
      <c r="IF20" s="22"/>
      <c r="IG20" s="22"/>
      <c r="IH20" s="22"/>
      <c r="II20" s="22"/>
      <c r="IJ20" s="22"/>
      <c r="IK20" s="22"/>
      <c r="IL20" s="22"/>
      <c r="IM20" s="22"/>
      <c r="IN20" s="22"/>
      <c r="IO20" s="22"/>
      <c r="IP20" s="22"/>
      <c r="IQ20" s="22"/>
      <c r="IR20" s="22"/>
      <c r="IS20" s="22"/>
      <c r="IT20" s="22"/>
    </row>
    <row r="21" spans="1:254" ht="18.75" x14ac:dyDescent="0.3">
      <c r="A21" s="33" t="s">
        <v>213</v>
      </c>
      <c r="B21" s="29" t="s">
        <v>116</v>
      </c>
      <c r="C21" s="79" t="s">
        <v>191</v>
      </c>
      <c r="D21" s="29" t="s">
        <v>50</v>
      </c>
      <c r="E21" s="34" t="s">
        <v>215</v>
      </c>
      <c r="F21" s="30">
        <f>'В-26,27'!G484+'В-26,27'!G358</f>
        <v>27012.800000000003</v>
      </c>
      <c r="G21" s="30">
        <f>'В-26,27'!H484+'В-26,27'!H355</f>
        <v>42730.3</v>
      </c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22"/>
      <c r="EQ21" s="22"/>
      <c r="ER21" s="22"/>
      <c r="ES21" s="22"/>
      <c r="ET21" s="22"/>
      <c r="EU21" s="22"/>
      <c r="EV21" s="22"/>
      <c r="EW21" s="22"/>
      <c r="EX21" s="22"/>
      <c r="EY21" s="22"/>
      <c r="EZ21" s="22"/>
      <c r="FA21" s="22"/>
      <c r="FB21" s="22"/>
      <c r="FC21" s="22"/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22"/>
      <c r="FQ21" s="22"/>
      <c r="FR21" s="22"/>
      <c r="FS21" s="22"/>
      <c r="FT21" s="22"/>
      <c r="FU21" s="22"/>
      <c r="FV21" s="22"/>
      <c r="FW21" s="22"/>
      <c r="FX21" s="22"/>
      <c r="FY21" s="22"/>
      <c r="FZ21" s="22"/>
      <c r="GA21" s="22"/>
      <c r="GB21" s="22"/>
      <c r="GC21" s="22"/>
      <c r="GD21" s="22"/>
      <c r="GE21" s="22"/>
      <c r="GF21" s="22"/>
      <c r="GG21" s="22"/>
      <c r="GH21" s="22"/>
      <c r="GI21" s="22"/>
      <c r="GJ21" s="22"/>
      <c r="GK21" s="22"/>
      <c r="GL21" s="22"/>
      <c r="GM21" s="22"/>
      <c r="GN21" s="22"/>
      <c r="GO21" s="22"/>
      <c r="GP21" s="22"/>
      <c r="GQ21" s="22"/>
      <c r="GR21" s="22"/>
      <c r="GS21" s="22"/>
      <c r="GT21" s="22"/>
      <c r="GU21" s="22"/>
      <c r="GV21" s="22"/>
      <c r="GW21" s="22"/>
      <c r="GX21" s="22"/>
      <c r="GY21" s="22"/>
      <c r="GZ21" s="22"/>
      <c r="HA21" s="22"/>
      <c r="HB21" s="22"/>
      <c r="HC21" s="22"/>
      <c r="HD21" s="22"/>
      <c r="HE21" s="22"/>
      <c r="HF21" s="22"/>
      <c r="HG21" s="22"/>
      <c r="HH21" s="22"/>
      <c r="HI21" s="22"/>
      <c r="HJ21" s="22"/>
      <c r="HK21" s="22"/>
      <c r="HL21" s="22"/>
      <c r="HM21" s="22"/>
      <c r="HN21" s="22"/>
      <c r="HO21" s="22"/>
      <c r="HP21" s="22"/>
      <c r="HQ21" s="22"/>
      <c r="HR21" s="22"/>
      <c r="HS21" s="22"/>
      <c r="HT21" s="22"/>
      <c r="HU21" s="22"/>
      <c r="HV21" s="22"/>
      <c r="HW21" s="22"/>
      <c r="HX21" s="22"/>
      <c r="HY21" s="22"/>
      <c r="HZ21" s="22"/>
      <c r="IA21" s="22"/>
      <c r="IB21" s="22"/>
      <c r="IC21" s="22"/>
      <c r="ID21" s="22"/>
      <c r="IE21" s="22"/>
      <c r="IF21" s="22"/>
      <c r="IG21" s="22"/>
      <c r="IH21" s="22"/>
      <c r="II21" s="22"/>
      <c r="IJ21" s="22"/>
      <c r="IK21" s="22"/>
      <c r="IL21" s="22"/>
      <c r="IM21" s="22"/>
      <c r="IN21" s="22"/>
      <c r="IO21" s="22"/>
      <c r="IP21" s="22"/>
      <c r="IQ21" s="22"/>
      <c r="IR21" s="22"/>
      <c r="IS21" s="22"/>
      <c r="IT21" s="22"/>
    </row>
    <row r="22" spans="1:254" ht="37.5" x14ac:dyDescent="0.3">
      <c r="A22" s="33" t="s">
        <v>236</v>
      </c>
      <c r="B22" s="29" t="s">
        <v>118</v>
      </c>
      <c r="C22" s="29" t="s">
        <v>113</v>
      </c>
      <c r="D22" s="29" t="s">
        <v>50</v>
      </c>
      <c r="E22" s="29" t="s">
        <v>51</v>
      </c>
      <c r="F22" s="30">
        <f>F23+F24</f>
        <v>5357.01</v>
      </c>
      <c r="G22" s="30">
        <f>G23+G24</f>
        <v>5357.01</v>
      </c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22"/>
      <c r="EQ22" s="22"/>
      <c r="ER22" s="22"/>
      <c r="ES22" s="22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22"/>
      <c r="FQ22" s="22"/>
      <c r="FR22" s="22"/>
      <c r="FS22" s="22"/>
      <c r="FT22" s="22"/>
      <c r="FU22" s="22"/>
      <c r="FV22" s="22"/>
      <c r="FW22" s="22"/>
      <c r="FX22" s="22"/>
      <c r="FY22" s="22"/>
      <c r="FZ22" s="22"/>
      <c r="GA22" s="22"/>
      <c r="GB22" s="22"/>
      <c r="GC22" s="22"/>
      <c r="GD22" s="22"/>
      <c r="GE22" s="22"/>
      <c r="GF22" s="22"/>
      <c r="GG22" s="22"/>
      <c r="GH22" s="22"/>
      <c r="GI22" s="22"/>
      <c r="GJ22" s="22"/>
      <c r="GK22" s="22"/>
      <c r="GL22" s="22"/>
      <c r="GM22" s="22"/>
      <c r="GN22" s="22"/>
      <c r="GO22" s="22"/>
      <c r="GP22" s="22"/>
      <c r="GQ22" s="22"/>
      <c r="GR22" s="22"/>
      <c r="GS22" s="22"/>
      <c r="GT22" s="22"/>
      <c r="GU22" s="22"/>
      <c r="GV22" s="22"/>
      <c r="GW22" s="22"/>
      <c r="GX22" s="22"/>
      <c r="GY22" s="22"/>
      <c r="GZ22" s="22"/>
      <c r="HA22" s="22"/>
      <c r="HB22" s="22"/>
      <c r="HC22" s="22"/>
      <c r="HD22" s="22"/>
      <c r="HE22" s="22"/>
      <c r="HF22" s="22"/>
      <c r="HG22" s="22"/>
      <c r="HH22" s="22"/>
      <c r="HI22" s="22"/>
      <c r="HJ22" s="22"/>
      <c r="HK22" s="22"/>
      <c r="HL22" s="22"/>
      <c r="HM22" s="22"/>
      <c r="HN22" s="22"/>
      <c r="HO22" s="22"/>
      <c r="HP22" s="22"/>
      <c r="HQ22" s="22"/>
      <c r="HR22" s="22"/>
      <c r="HS22" s="22"/>
      <c r="HT22" s="22"/>
      <c r="HU22" s="22"/>
      <c r="HV22" s="22"/>
      <c r="HW22" s="22"/>
      <c r="HX22" s="22"/>
      <c r="HY22" s="22"/>
      <c r="HZ22" s="22"/>
      <c r="IA22" s="22"/>
      <c r="IB22" s="22"/>
      <c r="IC22" s="22"/>
      <c r="ID22" s="22"/>
      <c r="IE22" s="22"/>
      <c r="IF22" s="22"/>
      <c r="IG22" s="22"/>
      <c r="IH22" s="22"/>
      <c r="II22" s="22"/>
      <c r="IJ22" s="22"/>
      <c r="IK22" s="22"/>
      <c r="IL22" s="22"/>
      <c r="IM22" s="22"/>
      <c r="IN22" s="22"/>
      <c r="IO22" s="22"/>
      <c r="IP22" s="22"/>
      <c r="IQ22" s="22"/>
      <c r="IR22" s="22"/>
      <c r="IS22" s="22"/>
      <c r="IT22" s="22"/>
    </row>
    <row r="23" spans="1:254" ht="87.75" customHeight="1" x14ac:dyDescent="0.3">
      <c r="A23" s="85" t="s">
        <v>574</v>
      </c>
      <c r="B23" s="29" t="s">
        <v>118</v>
      </c>
      <c r="C23" s="29" t="s">
        <v>170</v>
      </c>
      <c r="D23" s="29" t="s">
        <v>50</v>
      </c>
      <c r="E23" s="29" t="s">
        <v>51</v>
      </c>
      <c r="F23" s="30">
        <f>'В-26,27'!G562</f>
        <v>5330</v>
      </c>
      <c r="G23" s="30">
        <f>'В-26,27'!H562</f>
        <v>5330</v>
      </c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22"/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22"/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/>
      <c r="FQ23" s="22"/>
      <c r="FR23" s="22"/>
      <c r="FS23" s="22"/>
      <c r="FT23" s="22"/>
      <c r="FU23" s="22"/>
      <c r="FV23" s="22"/>
      <c r="FW23" s="22"/>
      <c r="FX23" s="22"/>
      <c r="FY23" s="22"/>
      <c r="FZ23" s="22"/>
      <c r="GA23" s="22"/>
      <c r="GB23" s="22"/>
      <c r="GC23" s="22"/>
      <c r="GD23" s="22"/>
      <c r="GE23" s="22"/>
      <c r="GF23" s="22"/>
      <c r="GG23" s="22"/>
      <c r="GH23" s="22"/>
      <c r="GI23" s="22"/>
      <c r="GJ23" s="22"/>
      <c r="GK23" s="22"/>
      <c r="GL23" s="22"/>
      <c r="GM23" s="22"/>
      <c r="GN23" s="22"/>
      <c r="GO23" s="22"/>
      <c r="GP23" s="22"/>
      <c r="GQ23" s="22"/>
      <c r="GR23" s="22"/>
      <c r="GS23" s="22"/>
      <c r="GT23" s="22"/>
      <c r="GU23" s="22"/>
      <c r="GV23" s="22"/>
      <c r="GW23" s="22"/>
      <c r="GX23" s="22"/>
      <c r="GY23" s="22"/>
      <c r="GZ23" s="22"/>
      <c r="HA23" s="22"/>
      <c r="HB23" s="22"/>
      <c r="HC23" s="22"/>
      <c r="HD23" s="22"/>
      <c r="HE23" s="22"/>
      <c r="HF23" s="22"/>
      <c r="HG23" s="22"/>
      <c r="HH23" s="22"/>
      <c r="HI23" s="22"/>
      <c r="HJ23" s="22"/>
      <c r="HK23" s="22"/>
      <c r="HL23" s="22"/>
      <c r="HM23" s="22"/>
      <c r="HN23" s="22"/>
      <c r="HO23" s="22"/>
      <c r="HP23" s="22"/>
      <c r="HQ23" s="22"/>
      <c r="HR23" s="22"/>
      <c r="HS23" s="22"/>
      <c r="HT23" s="22"/>
      <c r="HU23" s="22"/>
      <c r="HV23" s="22"/>
      <c r="HW23" s="22"/>
      <c r="HX23" s="22"/>
      <c r="HY23" s="22"/>
      <c r="HZ23" s="22"/>
      <c r="IA23" s="22"/>
      <c r="IB23" s="22"/>
      <c r="IC23" s="22"/>
      <c r="ID23" s="22"/>
      <c r="IE23" s="22"/>
      <c r="IF23" s="22"/>
      <c r="IG23" s="22"/>
      <c r="IH23" s="22"/>
      <c r="II23" s="22"/>
      <c r="IJ23" s="22"/>
      <c r="IK23" s="22"/>
      <c r="IL23" s="22"/>
      <c r="IM23" s="22"/>
      <c r="IN23" s="22"/>
      <c r="IO23" s="22"/>
      <c r="IP23" s="22"/>
      <c r="IQ23" s="22"/>
      <c r="IR23" s="22"/>
      <c r="IS23" s="22"/>
      <c r="IT23" s="22"/>
    </row>
    <row r="24" spans="1:254" s="35" customFormat="1" ht="57.75" hidden="1" customHeight="1" x14ac:dyDescent="0.3">
      <c r="A24" s="33" t="s">
        <v>242</v>
      </c>
      <c r="B24" s="29" t="s">
        <v>118</v>
      </c>
      <c r="C24" s="29" t="s">
        <v>243</v>
      </c>
      <c r="D24" s="29" t="s">
        <v>50</v>
      </c>
      <c r="E24" s="29" t="s">
        <v>51</v>
      </c>
      <c r="F24" s="31">
        <f>'В-26,27'!G604</f>
        <v>27.009999999999998</v>
      </c>
      <c r="G24" s="31">
        <f>'В-26,27'!H604</f>
        <v>27.009999999999998</v>
      </c>
    </row>
    <row r="25" spans="1:254" ht="18.75" x14ac:dyDescent="0.3">
      <c r="A25" s="33" t="s">
        <v>246</v>
      </c>
      <c r="B25" s="79" t="s">
        <v>122</v>
      </c>
      <c r="C25" s="79" t="s">
        <v>113</v>
      </c>
      <c r="D25" s="29" t="s">
        <v>50</v>
      </c>
      <c r="E25" s="29" t="s">
        <v>51</v>
      </c>
      <c r="F25" s="31">
        <f>SUM(F26:F29)</f>
        <v>72349.2</v>
      </c>
      <c r="G25" s="31">
        <f>SUM(G26:G29)</f>
        <v>72082</v>
      </c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22"/>
      <c r="EQ25" s="22"/>
      <c r="ER25" s="22"/>
      <c r="ES25" s="22"/>
      <c r="ET25" s="22"/>
      <c r="EU25" s="22"/>
      <c r="EV25" s="22"/>
      <c r="EW25" s="22"/>
      <c r="EX25" s="22"/>
      <c r="EY25" s="22"/>
      <c r="EZ25" s="22"/>
      <c r="FA25" s="22"/>
      <c r="FB25" s="22"/>
      <c r="FC25" s="22"/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22"/>
      <c r="FQ25" s="22"/>
      <c r="FR25" s="22"/>
      <c r="FS25" s="22"/>
      <c r="FT25" s="22"/>
      <c r="FU25" s="22"/>
      <c r="FV25" s="22"/>
      <c r="FW25" s="22"/>
      <c r="FX25" s="22"/>
      <c r="FY25" s="22"/>
      <c r="FZ25" s="22"/>
      <c r="GA25" s="22"/>
      <c r="GB25" s="22"/>
      <c r="GC25" s="22"/>
      <c r="GD25" s="22"/>
      <c r="GE25" s="22"/>
      <c r="GF25" s="22"/>
      <c r="GG25" s="22"/>
      <c r="GH25" s="22"/>
      <c r="GI25" s="22"/>
      <c r="GJ25" s="22"/>
      <c r="GK25" s="22"/>
      <c r="GL25" s="22"/>
      <c r="GM25" s="22"/>
      <c r="GN25" s="22"/>
      <c r="GO25" s="22"/>
      <c r="GP25" s="22"/>
      <c r="GQ25" s="22"/>
      <c r="GR25" s="22"/>
      <c r="GS25" s="22"/>
      <c r="GT25" s="22"/>
      <c r="GU25" s="22"/>
      <c r="GV25" s="22"/>
      <c r="GW25" s="22"/>
      <c r="GX25" s="22"/>
      <c r="GY25" s="22"/>
      <c r="GZ25" s="22"/>
      <c r="HA25" s="22"/>
      <c r="HB25" s="22"/>
      <c r="HC25" s="22"/>
      <c r="HD25" s="22"/>
      <c r="HE25" s="22"/>
      <c r="HF25" s="22"/>
      <c r="HG25" s="22"/>
      <c r="HH25" s="22"/>
      <c r="HI25" s="22"/>
      <c r="HJ25" s="22"/>
      <c r="HK25" s="22"/>
      <c r="HL25" s="22"/>
      <c r="HM25" s="22"/>
      <c r="HN25" s="22"/>
      <c r="HO25" s="22"/>
      <c r="HP25" s="22"/>
      <c r="HQ25" s="22"/>
      <c r="HR25" s="22"/>
      <c r="HS25" s="22"/>
      <c r="HT25" s="22"/>
      <c r="HU25" s="22"/>
      <c r="HV25" s="22"/>
      <c r="HW25" s="22"/>
      <c r="HX25" s="22"/>
      <c r="HY25" s="22"/>
      <c r="HZ25" s="22"/>
      <c r="IA25" s="22"/>
      <c r="IB25" s="22"/>
      <c r="IC25" s="22"/>
      <c r="ID25" s="22"/>
      <c r="IE25" s="22"/>
      <c r="IF25" s="22"/>
      <c r="IG25" s="22"/>
      <c r="IH25" s="22"/>
      <c r="II25" s="22"/>
      <c r="IJ25" s="22"/>
      <c r="IK25" s="22"/>
      <c r="IL25" s="22"/>
      <c r="IM25" s="22"/>
      <c r="IN25" s="22"/>
      <c r="IO25" s="22"/>
      <c r="IP25" s="22"/>
      <c r="IQ25" s="22"/>
      <c r="IR25" s="22"/>
      <c r="IS25" s="22"/>
      <c r="IT25" s="22"/>
    </row>
    <row r="26" spans="1:254" ht="18.75" hidden="1" x14ac:dyDescent="0.3">
      <c r="A26" s="36" t="s">
        <v>247</v>
      </c>
      <c r="B26" s="79" t="s">
        <v>122</v>
      </c>
      <c r="C26" s="79" t="s">
        <v>211</v>
      </c>
      <c r="D26" s="29" t="s">
        <v>50</v>
      </c>
      <c r="E26" s="29" t="s">
        <v>51</v>
      </c>
      <c r="F26" s="31">
        <f>'В-26,27'!G617</f>
        <v>0</v>
      </c>
      <c r="G26" s="31">
        <f>'В-26,27'!H617</f>
        <v>0</v>
      </c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  <c r="EM26" s="22"/>
      <c r="EN26" s="22"/>
      <c r="EO26" s="22"/>
      <c r="EP26" s="22"/>
      <c r="EQ26" s="22"/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22"/>
      <c r="FD26" s="22"/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22"/>
      <c r="FQ26" s="22"/>
      <c r="FR26" s="22"/>
      <c r="FS26" s="22"/>
      <c r="FT26" s="22"/>
      <c r="FU26" s="22"/>
      <c r="FV26" s="22"/>
      <c r="FW26" s="22"/>
      <c r="FX26" s="22"/>
      <c r="FY26" s="22"/>
      <c r="FZ26" s="22"/>
      <c r="GA26" s="22"/>
      <c r="GB26" s="22"/>
      <c r="GC26" s="22"/>
      <c r="GD26" s="22"/>
      <c r="GE26" s="22"/>
      <c r="GF26" s="22"/>
      <c r="GG26" s="22"/>
      <c r="GH26" s="22"/>
      <c r="GI26" s="22"/>
      <c r="GJ26" s="22"/>
      <c r="GK26" s="22"/>
      <c r="GL26" s="22"/>
      <c r="GM26" s="22"/>
      <c r="GN26" s="22"/>
      <c r="GO26" s="22"/>
      <c r="GP26" s="22"/>
      <c r="GQ26" s="22"/>
      <c r="GR26" s="22"/>
      <c r="GS26" s="22"/>
      <c r="GT26" s="22"/>
      <c r="GU26" s="22"/>
      <c r="GV26" s="22"/>
      <c r="GW26" s="22"/>
      <c r="GX26" s="22"/>
      <c r="GY26" s="22"/>
      <c r="GZ26" s="22"/>
      <c r="HA26" s="22"/>
      <c r="HB26" s="22"/>
      <c r="HC26" s="22"/>
      <c r="HD26" s="22"/>
      <c r="HE26" s="22"/>
      <c r="HF26" s="22"/>
      <c r="HG26" s="22"/>
      <c r="HH26" s="22"/>
      <c r="HI26" s="22"/>
      <c r="HJ26" s="22"/>
      <c r="HK26" s="22"/>
      <c r="HL26" s="22"/>
      <c r="HM26" s="22"/>
      <c r="HN26" s="22"/>
      <c r="HO26" s="22"/>
      <c r="HP26" s="22"/>
      <c r="HQ26" s="22"/>
      <c r="HR26" s="22"/>
      <c r="HS26" s="22"/>
      <c r="HT26" s="22"/>
      <c r="HU26" s="22"/>
      <c r="HV26" s="22"/>
      <c r="HW26" s="22"/>
      <c r="HX26" s="22"/>
      <c r="HY26" s="22"/>
      <c r="HZ26" s="22"/>
      <c r="IA26" s="22"/>
      <c r="IB26" s="22"/>
      <c r="IC26" s="22"/>
      <c r="ID26" s="22"/>
      <c r="IE26" s="22"/>
      <c r="IF26" s="22"/>
      <c r="IG26" s="22"/>
      <c r="IH26" s="22"/>
      <c r="II26" s="22"/>
      <c r="IJ26" s="22"/>
      <c r="IK26" s="22"/>
      <c r="IL26" s="22"/>
      <c r="IM26" s="22"/>
      <c r="IN26" s="22"/>
      <c r="IO26" s="22"/>
      <c r="IP26" s="22"/>
      <c r="IQ26" s="22"/>
      <c r="IR26" s="22"/>
      <c r="IS26" s="22"/>
      <c r="IT26" s="22"/>
    </row>
    <row r="27" spans="1:254" ht="18.75" x14ac:dyDescent="0.3">
      <c r="A27" s="33" t="s">
        <v>345</v>
      </c>
      <c r="B27" s="29" t="s">
        <v>122</v>
      </c>
      <c r="C27" s="29" t="s">
        <v>131</v>
      </c>
      <c r="D27" s="29" t="s">
        <v>50</v>
      </c>
      <c r="E27" s="29" t="s">
        <v>51</v>
      </c>
      <c r="F27" s="31">
        <f>'В-26,27'!G626</f>
        <v>100.2</v>
      </c>
      <c r="G27" s="31">
        <f>'В-26,27'!H626</f>
        <v>100</v>
      </c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  <c r="EM27" s="22"/>
      <c r="EN27" s="22"/>
      <c r="EO27" s="22"/>
      <c r="EP27" s="22"/>
      <c r="EQ27" s="22"/>
      <c r="ER27" s="22"/>
      <c r="ES27" s="22"/>
      <c r="ET27" s="22"/>
      <c r="EU27" s="22"/>
      <c r="EV27" s="22"/>
      <c r="EW27" s="22"/>
      <c r="EX27" s="22"/>
      <c r="EY27" s="22"/>
      <c r="EZ27" s="22"/>
      <c r="FA27" s="22"/>
      <c r="FB27" s="22"/>
      <c r="FC27" s="22"/>
      <c r="FD27" s="22"/>
      <c r="FE27" s="22"/>
      <c r="FF27" s="22"/>
      <c r="FG27" s="22"/>
      <c r="FH27" s="22"/>
      <c r="FI27" s="22"/>
      <c r="FJ27" s="22"/>
      <c r="FK27" s="22"/>
      <c r="FL27" s="22"/>
      <c r="FM27" s="22"/>
      <c r="FN27" s="22"/>
      <c r="FO27" s="22"/>
      <c r="FP27" s="22"/>
      <c r="FQ27" s="22"/>
      <c r="FR27" s="22"/>
      <c r="FS27" s="22"/>
      <c r="FT27" s="22"/>
      <c r="FU27" s="22"/>
      <c r="FV27" s="22"/>
      <c r="FW27" s="22"/>
      <c r="FX27" s="22"/>
      <c r="FY27" s="22"/>
      <c r="FZ27" s="22"/>
      <c r="GA27" s="22"/>
      <c r="GB27" s="22"/>
      <c r="GC27" s="22"/>
      <c r="GD27" s="22"/>
      <c r="GE27" s="22"/>
      <c r="GF27" s="22"/>
      <c r="GG27" s="22"/>
      <c r="GH27" s="22"/>
      <c r="GI27" s="22"/>
      <c r="GJ27" s="22"/>
      <c r="GK27" s="22"/>
      <c r="GL27" s="22"/>
      <c r="GM27" s="22"/>
      <c r="GN27" s="22"/>
      <c r="GO27" s="22"/>
      <c r="GP27" s="22"/>
      <c r="GQ27" s="22"/>
      <c r="GR27" s="22"/>
      <c r="GS27" s="22"/>
      <c r="GT27" s="22"/>
      <c r="GU27" s="22"/>
      <c r="GV27" s="22"/>
      <c r="GW27" s="22"/>
      <c r="GX27" s="22"/>
      <c r="GY27" s="22"/>
      <c r="GZ27" s="22"/>
      <c r="HA27" s="22"/>
      <c r="HB27" s="22"/>
      <c r="HC27" s="22"/>
      <c r="HD27" s="22"/>
      <c r="HE27" s="22"/>
      <c r="HF27" s="22"/>
      <c r="HG27" s="22"/>
      <c r="HH27" s="22"/>
      <c r="HI27" s="22"/>
      <c r="HJ27" s="22"/>
      <c r="HK27" s="22"/>
      <c r="HL27" s="22"/>
      <c r="HM27" s="22"/>
      <c r="HN27" s="22"/>
      <c r="HO27" s="22"/>
      <c r="HP27" s="22"/>
      <c r="HQ27" s="22"/>
      <c r="HR27" s="22"/>
      <c r="HS27" s="22"/>
      <c r="HT27" s="22"/>
      <c r="HU27" s="22"/>
      <c r="HV27" s="22"/>
      <c r="HW27" s="22"/>
      <c r="HX27" s="22"/>
      <c r="HY27" s="22"/>
      <c r="HZ27" s="22"/>
      <c r="IA27" s="22"/>
      <c r="IB27" s="22"/>
      <c r="IC27" s="22"/>
      <c r="ID27" s="22"/>
      <c r="IE27" s="22"/>
      <c r="IF27" s="22"/>
      <c r="IG27" s="22"/>
      <c r="IH27" s="22"/>
      <c r="II27" s="22"/>
      <c r="IJ27" s="22"/>
      <c r="IK27" s="22"/>
      <c r="IL27" s="22"/>
      <c r="IM27" s="22"/>
      <c r="IN27" s="22"/>
      <c r="IO27" s="22"/>
      <c r="IP27" s="22"/>
      <c r="IQ27" s="22"/>
      <c r="IR27" s="22"/>
      <c r="IS27" s="22"/>
      <c r="IT27" s="22"/>
    </row>
    <row r="28" spans="1:254" ht="19.5" customHeight="1" x14ac:dyDescent="0.3">
      <c r="A28" s="33" t="s">
        <v>250</v>
      </c>
      <c r="B28" s="29" t="s">
        <v>122</v>
      </c>
      <c r="C28" s="29" t="s">
        <v>129</v>
      </c>
      <c r="D28" s="29" t="s">
        <v>50</v>
      </c>
      <c r="E28" s="79" t="s">
        <v>51</v>
      </c>
      <c r="F28" s="30">
        <f>'В-26,27'!G642</f>
        <v>72009</v>
      </c>
      <c r="G28" s="30">
        <f>'В-26,27'!H642</f>
        <v>71982</v>
      </c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  <c r="EM28" s="22"/>
      <c r="EN28" s="22"/>
      <c r="EO28" s="22"/>
      <c r="EP28" s="22"/>
      <c r="EQ28" s="22"/>
      <c r="ER28" s="22"/>
      <c r="ES28" s="22"/>
      <c r="ET28" s="22"/>
      <c r="EU28" s="22"/>
      <c r="EV28" s="22"/>
      <c r="EW28" s="22"/>
      <c r="EX28" s="22"/>
      <c r="EY28" s="22"/>
      <c r="EZ28" s="22"/>
      <c r="FA28" s="22"/>
      <c r="FB28" s="22"/>
      <c r="FC28" s="22"/>
      <c r="FD28" s="22"/>
      <c r="FE28" s="22"/>
      <c r="FF28" s="22"/>
      <c r="FG28" s="22"/>
      <c r="FH28" s="22"/>
      <c r="FI28" s="22"/>
      <c r="FJ28" s="22"/>
      <c r="FK28" s="22"/>
      <c r="FL28" s="22"/>
      <c r="FM28" s="22"/>
      <c r="FN28" s="22"/>
      <c r="FO28" s="22"/>
      <c r="FP28" s="22"/>
      <c r="FQ28" s="22"/>
      <c r="FR28" s="22"/>
      <c r="FS28" s="22"/>
      <c r="FT28" s="22"/>
      <c r="FU28" s="22"/>
      <c r="FV28" s="22"/>
      <c r="FW28" s="22"/>
      <c r="FX28" s="22"/>
      <c r="FY28" s="22"/>
      <c r="FZ28" s="22"/>
      <c r="GA28" s="22"/>
      <c r="GB28" s="22"/>
      <c r="GC28" s="22"/>
      <c r="GD28" s="22"/>
      <c r="GE28" s="22"/>
      <c r="GF28" s="22"/>
      <c r="GG28" s="22"/>
      <c r="GH28" s="22"/>
      <c r="GI28" s="22"/>
      <c r="GJ28" s="22"/>
      <c r="GK28" s="22"/>
      <c r="GL28" s="22"/>
      <c r="GM28" s="22"/>
      <c r="GN28" s="22"/>
      <c r="GO28" s="22"/>
      <c r="GP28" s="22"/>
      <c r="GQ28" s="22"/>
      <c r="GR28" s="22"/>
      <c r="GS28" s="22"/>
      <c r="GT28" s="22"/>
      <c r="GU28" s="22"/>
      <c r="GV28" s="22"/>
      <c r="GW28" s="22"/>
      <c r="GX28" s="22"/>
      <c r="GY28" s="22"/>
      <c r="GZ28" s="22"/>
      <c r="HA28" s="22"/>
      <c r="HB28" s="22"/>
      <c r="HC28" s="22"/>
      <c r="HD28" s="22"/>
      <c r="HE28" s="22"/>
      <c r="HF28" s="22"/>
      <c r="HG28" s="22"/>
      <c r="HH28" s="22"/>
      <c r="HI28" s="22"/>
      <c r="HJ28" s="22"/>
      <c r="HK28" s="22"/>
      <c r="HL28" s="22"/>
      <c r="HM28" s="22"/>
      <c r="HN28" s="22"/>
      <c r="HO28" s="22"/>
      <c r="HP28" s="22"/>
      <c r="HQ28" s="22"/>
      <c r="HR28" s="22"/>
      <c r="HS28" s="22"/>
      <c r="HT28" s="22"/>
      <c r="HU28" s="22"/>
      <c r="HV28" s="22"/>
      <c r="HW28" s="22"/>
      <c r="HX28" s="22"/>
      <c r="HY28" s="22"/>
      <c r="HZ28" s="22"/>
      <c r="IA28" s="22"/>
      <c r="IB28" s="22"/>
      <c r="IC28" s="22"/>
      <c r="ID28" s="22"/>
      <c r="IE28" s="22"/>
      <c r="IF28" s="22"/>
      <c r="IG28" s="22"/>
      <c r="IH28" s="22"/>
      <c r="II28" s="22"/>
      <c r="IJ28" s="22"/>
      <c r="IK28" s="22"/>
      <c r="IL28" s="22"/>
      <c r="IM28" s="22"/>
      <c r="IN28" s="22"/>
      <c r="IO28" s="22"/>
      <c r="IP28" s="22"/>
      <c r="IQ28" s="22"/>
      <c r="IR28" s="22"/>
      <c r="IS28" s="22"/>
      <c r="IT28" s="22"/>
    </row>
    <row r="29" spans="1:254" ht="40.5" customHeight="1" x14ac:dyDescent="0.3">
      <c r="A29" s="33" t="s">
        <v>261</v>
      </c>
      <c r="B29" s="29" t="s">
        <v>122</v>
      </c>
      <c r="C29" s="79">
        <v>12</v>
      </c>
      <c r="D29" s="29" t="s">
        <v>50</v>
      </c>
      <c r="E29" s="29" t="s">
        <v>51</v>
      </c>
      <c r="F29" s="30">
        <f>'В-26,27'!G752</f>
        <v>240</v>
      </c>
      <c r="G29" s="30">
        <f>'В-26,27'!H752</f>
        <v>0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  <c r="EM29" s="22"/>
      <c r="EN29" s="22"/>
      <c r="EO29" s="22"/>
      <c r="EP29" s="22"/>
      <c r="EQ29" s="22"/>
      <c r="ER29" s="22"/>
      <c r="ES29" s="22"/>
      <c r="ET29" s="22"/>
      <c r="EU29" s="22"/>
      <c r="EV29" s="22"/>
      <c r="EW29" s="22"/>
      <c r="EX29" s="22"/>
      <c r="EY29" s="22"/>
      <c r="EZ29" s="22"/>
      <c r="FA29" s="22"/>
      <c r="FB29" s="22"/>
      <c r="FC29" s="22"/>
      <c r="FD29" s="22"/>
      <c r="FE29" s="22"/>
      <c r="FF29" s="22"/>
      <c r="FG29" s="22"/>
      <c r="FH29" s="22"/>
      <c r="FI29" s="22"/>
      <c r="FJ29" s="22"/>
      <c r="FK29" s="22"/>
      <c r="FL29" s="22"/>
      <c r="FM29" s="22"/>
      <c r="FN29" s="22"/>
      <c r="FO29" s="22"/>
      <c r="FP29" s="22"/>
      <c r="FQ29" s="22"/>
      <c r="FR29" s="22"/>
      <c r="FS29" s="22"/>
      <c r="FT29" s="22"/>
      <c r="FU29" s="22"/>
      <c r="FV29" s="22"/>
      <c r="FW29" s="22"/>
      <c r="FX29" s="22"/>
      <c r="FY29" s="22"/>
      <c r="FZ29" s="22"/>
      <c r="GA29" s="22"/>
      <c r="GB29" s="22"/>
      <c r="GC29" s="22"/>
      <c r="GD29" s="22"/>
      <c r="GE29" s="22"/>
      <c r="GF29" s="22"/>
      <c r="GG29" s="22"/>
      <c r="GH29" s="22"/>
      <c r="GI29" s="22"/>
      <c r="GJ29" s="22"/>
      <c r="GK29" s="22"/>
      <c r="GL29" s="22"/>
      <c r="GM29" s="22"/>
      <c r="GN29" s="22"/>
      <c r="GO29" s="22"/>
      <c r="GP29" s="22"/>
      <c r="GQ29" s="22"/>
      <c r="GR29" s="22"/>
      <c r="GS29" s="22"/>
      <c r="GT29" s="22"/>
      <c r="GU29" s="22"/>
      <c r="GV29" s="22"/>
      <c r="GW29" s="22"/>
      <c r="GX29" s="22"/>
      <c r="GY29" s="22"/>
      <c r="GZ29" s="22"/>
      <c r="HA29" s="22"/>
      <c r="HB29" s="22"/>
      <c r="HC29" s="22"/>
      <c r="HD29" s="22"/>
      <c r="HE29" s="22"/>
      <c r="HF29" s="22"/>
      <c r="HG29" s="22"/>
      <c r="HH29" s="22"/>
      <c r="HI29" s="22"/>
      <c r="HJ29" s="22"/>
      <c r="HK29" s="22"/>
      <c r="HL29" s="22"/>
      <c r="HM29" s="22"/>
      <c r="HN29" s="22"/>
      <c r="HO29" s="22"/>
      <c r="HP29" s="22"/>
      <c r="HQ29" s="22"/>
      <c r="HR29" s="22"/>
      <c r="HS29" s="22"/>
      <c r="HT29" s="22"/>
      <c r="HU29" s="22"/>
      <c r="HV29" s="22"/>
      <c r="HW29" s="22"/>
      <c r="HX29" s="22"/>
      <c r="HY29" s="22"/>
      <c r="HZ29" s="22"/>
      <c r="IA29" s="22"/>
      <c r="IB29" s="22"/>
      <c r="IC29" s="22"/>
      <c r="ID29" s="22"/>
      <c r="IE29" s="22"/>
      <c r="IF29" s="22"/>
      <c r="IG29" s="22"/>
      <c r="IH29" s="22"/>
      <c r="II29" s="22"/>
      <c r="IJ29" s="22"/>
      <c r="IK29" s="22"/>
      <c r="IL29" s="22"/>
      <c r="IM29" s="22"/>
      <c r="IN29" s="22"/>
      <c r="IO29" s="22"/>
      <c r="IP29" s="22"/>
      <c r="IQ29" s="22"/>
      <c r="IR29" s="22"/>
      <c r="IS29" s="22"/>
      <c r="IT29" s="22"/>
    </row>
    <row r="30" spans="1:254" ht="18.75" x14ac:dyDescent="0.3">
      <c r="A30" s="33" t="s">
        <v>277</v>
      </c>
      <c r="B30" s="29" t="s">
        <v>211</v>
      </c>
      <c r="C30" s="29" t="s">
        <v>113</v>
      </c>
      <c r="D30" s="29" t="s">
        <v>50</v>
      </c>
      <c r="E30" s="29" t="s">
        <v>51</v>
      </c>
      <c r="F30" s="30">
        <f>SUM(F31:F34)</f>
        <v>44181.95</v>
      </c>
      <c r="G30" s="30">
        <f>SUM(G31:G33)</f>
        <v>48667.3</v>
      </c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  <c r="EM30" s="22"/>
      <c r="EN30" s="22"/>
      <c r="EO30" s="22"/>
      <c r="EP30" s="22"/>
      <c r="EQ30" s="22"/>
      <c r="ER30" s="22"/>
      <c r="ES30" s="22"/>
      <c r="ET30" s="22"/>
      <c r="EU30" s="22"/>
      <c r="EV30" s="22"/>
      <c r="EW30" s="22"/>
      <c r="EX30" s="22"/>
      <c r="EY30" s="22"/>
      <c r="EZ30" s="22"/>
      <c r="FA30" s="22"/>
      <c r="FB30" s="22"/>
      <c r="FC30" s="22"/>
      <c r="FD30" s="22"/>
      <c r="FE30" s="22"/>
      <c r="FF30" s="22"/>
      <c r="FG30" s="22"/>
      <c r="FH30" s="22"/>
      <c r="FI30" s="22"/>
      <c r="FJ30" s="22"/>
      <c r="FK30" s="22"/>
      <c r="FL30" s="22"/>
      <c r="FM30" s="22"/>
      <c r="FN30" s="22"/>
      <c r="FO30" s="22"/>
      <c r="FP30" s="22"/>
      <c r="FQ30" s="22"/>
      <c r="FR30" s="22"/>
      <c r="FS30" s="22"/>
      <c r="FT30" s="22"/>
      <c r="FU30" s="22"/>
      <c r="FV30" s="22"/>
      <c r="FW30" s="22"/>
      <c r="FX30" s="22"/>
      <c r="FY30" s="22"/>
      <c r="FZ30" s="22"/>
      <c r="GA30" s="22"/>
      <c r="GB30" s="22"/>
      <c r="GC30" s="22"/>
      <c r="GD30" s="22"/>
      <c r="GE30" s="22"/>
      <c r="GF30" s="22"/>
      <c r="GG30" s="22"/>
      <c r="GH30" s="22"/>
      <c r="GI30" s="22"/>
      <c r="GJ30" s="22"/>
      <c r="GK30" s="22"/>
      <c r="GL30" s="22"/>
      <c r="GM30" s="22"/>
      <c r="GN30" s="22"/>
      <c r="GO30" s="22"/>
      <c r="GP30" s="22"/>
      <c r="GQ30" s="22"/>
      <c r="GR30" s="22"/>
      <c r="GS30" s="22"/>
      <c r="GT30" s="22"/>
      <c r="GU30" s="22"/>
      <c r="GV30" s="22"/>
      <c r="GW30" s="22"/>
      <c r="GX30" s="22"/>
      <c r="GY30" s="22"/>
      <c r="GZ30" s="22"/>
      <c r="HA30" s="22"/>
      <c r="HB30" s="22"/>
      <c r="HC30" s="22"/>
      <c r="HD30" s="22"/>
      <c r="HE30" s="22"/>
      <c r="HF30" s="22"/>
      <c r="HG30" s="22"/>
      <c r="HH30" s="22"/>
      <c r="HI30" s="22"/>
      <c r="HJ30" s="22"/>
      <c r="HK30" s="22"/>
      <c r="HL30" s="22"/>
      <c r="HM30" s="22"/>
      <c r="HN30" s="22"/>
      <c r="HO30" s="22"/>
      <c r="HP30" s="22"/>
      <c r="HQ30" s="22"/>
      <c r="HR30" s="22"/>
      <c r="HS30" s="22"/>
      <c r="HT30" s="22"/>
      <c r="HU30" s="22"/>
      <c r="HV30" s="22"/>
      <c r="HW30" s="22"/>
      <c r="HX30" s="22"/>
      <c r="HY30" s="22"/>
      <c r="HZ30" s="22"/>
      <c r="IA30" s="22"/>
      <c r="IB30" s="22"/>
      <c r="IC30" s="22"/>
      <c r="ID30" s="22"/>
      <c r="IE30" s="22"/>
      <c r="IF30" s="22"/>
      <c r="IG30" s="22"/>
      <c r="IH30" s="22"/>
      <c r="II30" s="22"/>
      <c r="IJ30" s="22"/>
      <c r="IK30" s="22"/>
      <c r="IL30" s="22"/>
      <c r="IM30" s="22"/>
      <c r="IN30" s="22"/>
      <c r="IO30" s="22"/>
      <c r="IP30" s="22"/>
      <c r="IQ30" s="22"/>
      <c r="IR30" s="22"/>
      <c r="IS30" s="22"/>
      <c r="IT30" s="22"/>
    </row>
    <row r="31" spans="1:254" ht="18.75" hidden="1" x14ac:dyDescent="0.3">
      <c r="A31" s="33" t="s">
        <v>278</v>
      </c>
      <c r="B31" s="29" t="s">
        <v>211</v>
      </c>
      <c r="C31" s="29" t="s">
        <v>116</v>
      </c>
      <c r="D31" s="29" t="s">
        <v>50</v>
      </c>
      <c r="E31" s="29" t="s">
        <v>51</v>
      </c>
      <c r="F31" s="30">
        <f>'В-26,27'!G788</f>
        <v>0</v>
      </c>
      <c r="G31" s="30">
        <f>'В-26,27'!H788</f>
        <v>0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  <c r="EM31" s="22"/>
      <c r="EN31" s="22"/>
      <c r="EO31" s="22"/>
      <c r="EP31" s="22"/>
      <c r="EQ31" s="22"/>
      <c r="ER31" s="22"/>
      <c r="ES31" s="22"/>
      <c r="ET31" s="22"/>
      <c r="EU31" s="22"/>
      <c r="EV31" s="22"/>
      <c r="EW31" s="22"/>
      <c r="EX31" s="22"/>
      <c r="EY31" s="22"/>
      <c r="EZ31" s="22"/>
      <c r="FA31" s="22"/>
      <c r="FB31" s="22"/>
      <c r="FC31" s="22"/>
      <c r="FD31" s="22"/>
      <c r="FE31" s="22"/>
      <c r="FF31" s="22"/>
      <c r="FG31" s="22"/>
      <c r="FH31" s="22"/>
      <c r="FI31" s="22"/>
      <c r="FJ31" s="22"/>
      <c r="FK31" s="22"/>
      <c r="FL31" s="22"/>
      <c r="FM31" s="22"/>
      <c r="FN31" s="22"/>
      <c r="FO31" s="22"/>
      <c r="FP31" s="22"/>
      <c r="FQ31" s="22"/>
      <c r="FR31" s="22"/>
      <c r="FS31" s="22"/>
      <c r="FT31" s="22"/>
      <c r="FU31" s="22"/>
      <c r="FV31" s="22"/>
      <c r="FW31" s="22"/>
      <c r="FX31" s="22"/>
      <c r="FY31" s="22"/>
      <c r="FZ31" s="22"/>
      <c r="GA31" s="22"/>
      <c r="GB31" s="22"/>
      <c r="GC31" s="22"/>
      <c r="GD31" s="22"/>
      <c r="GE31" s="22"/>
      <c r="GF31" s="22"/>
      <c r="GG31" s="22"/>
      <c r="GH31" s="22"/>
      <c r="GI31" s="22"/>
      <c r="GJ31" s="22"/>
      <c r="GK31" s="22"/>
      <c r="GL31" s="22"/>
      <c r="GM31" s="22"/>
      <c r="GN31" s="22"/>
      <c r="GO31" s="22"/>
      <c r="GP31" s="22"/>
      <c r="GQ31" s="22"/>
      <c r="GR31" s="22"/>
      <c r="GS31" s="22"/>
      <c r="GT31" s="22"/>
      <c r="GU31" s="22"/>
      <c r="GV31" s="22"/>
      <c r="GW31" s="22"/>
      <c r="GX31" s="22"/>
      <c r="GY31" s="22"/>
      <c r="GZ31" s="22"/>
      <c r="HA31" s="22"/>
      <c r="HB31" s="22"/>
      <c r="HC31" s="22"/>
      <c r="HD31" s="22"/>
      <c r="HE31" s="22"/>
      <c r="HF31" s="22"/>
      <c r="HG31" s="22"/>
      <c r="HH31" s="22"/>
      <c r="HI31" s="22"/>
      <c r="HJ31" s="22"/>
      <c r="HK31" s="22"/>
      <c r="HL31" s="22"/>
      <c r="HM31" s="22"/>
      <c r="HN31" s="22"/>
      <c r="HO31" s="22"/>
      <c r="HP31" s="22"/>
      <c r="HQ31" s="22"/>
      <c r="HR31" s="22"/>
      <c r="HS31" s="22"/>
      <c r="HT31" s="22"/>
      <c r="HU31" s="22"/>
      <c r="HV31" s="22"/>
      <c r="HW31" s="22"/>
      <c r="HX31" s="22"/>
      <c r="HY31" s="22"/>
      <c r="HZ31" s="22"/>
      <c r="IA31" s="22"/>
      <c r="IB31" s="22"/>
      <c r="IC31" s="22"/>
      <c r="ID31" s="22"/>
      <c r="IE31" s="22"/>
      <c r="IF31" s="22"/>
      <c r="IG31" s="22"/>
      <c r="IH31" s="22"/>
      <c r="II31" s="22"/>
      <c r="IJ31" s="22"/>
      <c r="IK31" s="22"/>
      <c r="IL31" s="22"/>
      <c r="IM31" s="22"/>
      <c r="IN31" s="22"/>
      <c r="IO31" s="22"/>
      <c r="IP31" s="22"/>
      <c r="IQ31" s="22"/>
      <c r="IR31" s="22"/>
      <c r="IS31" s="22"/>
      <c r="IT31" s="22"/>
    </row>
    <row r="32" spans="1:254" ht="20.25" hidden="1" customHeight="1" x14ac:dyDescent="0.3">
      <c r="A32" s="33" t="s">
        <v>283</v>
      </c>
      <c r="B32" s="29" t="s">
        <v>211</v>
      </c>
      <c r="C32" s="29" t="s">
        <v>117</v>
      </c>
      <c r="D32" s="29" t="s">
        <v>50</v>
      </c>
      <c r="E32" s="29" t="s">
        <v>51</v>
      </c>
      <c r="F32" s="30">
        <f>'В-26,27'!G810</f>
        <v>530</v>
      </c>
      <c r="G32" s="30">
        <f>'В-26,27'!H810</f>
        <v>200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  <c r="EM32" s="22"/>
      <c r="EN32" s="22"/>
      <c r="EO32" s="22"/>
      <c r="EP32" s="22"/>
      <c r="EQ32" s="22"/>
      <c r="ER32" s="22"/>
      <c r="ES32" s="22"/>
      <c r="ET32" s="22"/>
      <c r="EU32" s="22"/>
      <c r="EV32" s="22"/>
      <c r="EW32" s="22"/>
      <c r="EX32" s="22"/>
      <c r="EY32" s="22"/>
      <c r="EZ32" s="22"/>
      <c r="FA32" s="22"/>
      <c r="FB32" s="22"/>
      <c r="FC32" s="22"/>
      <c r="FD32" s="22"/>
      <c r="FE32" s="22"/>
      <c r="FF32" s="22"/>
      <c r="FG32" s="22"/>
      <c r="FH32" s="22"/>
      <c r="FI32" s="22"/>
      <c r="FJ32" s="22"/>
      <c r="FK32" s="22"/>
      <c r="FL32" s="22"/>
      <c r="FM32" s="22"/>
      <c r="FN32" s="22"/>
      <c r="FO32" s="22"/>
      <c r="FP32" s="22"/>
      <c r="FQ32" s="22"/>
      <c r="FR32" s="22"/>
      <c r="FS32" s="22"/>
      <c r="FT32" s="22"/>
      <c r="FU32" s="22"/>
      <c r="FV32" s="22"/>
      <c r="FW32" s="22"/>
      <c r="FX32" s="22"/>
      <c r="FY32" s="22"/>
      <c r="FZ32" s="22"/>
      <c r="GA32" s="22"/>
      <c r="GB32" s="22"/>
      <c r="GC32" s="22"/>
      <c r="GD32" s="22"/>
      <c r="GE32" s="22"/>
      <c r="GF32" s="22"/>
      <c r="GG32" s="22"/>
      <c r="GH32" s="22"/>
      <c r="GI32" s="22"/>
      <c r="GJ32" s="22"/>
      <c r="GK32" s="22"/>
      <c r="GL32" s="22"/>
      <c r="GM32" s="22"/>
      <c r="GN32" s="22"/>
      <c r="GO32" s="22"/>
      <c r="GP32" s="22"/>
      <c r="GQ32" s="22"/>
      <c r="GR32" s="22"/>
      <c r="GS32" s="22"/>
      <c r="GT32" s="22"/>
      <c r="GU32" s="22"/>
      <c r="GV32" s="22"/>
      <c r="GW32" s="22"/>
      <c r="GX32" s="22"/>
      <c r="GY32" s="22"/>
      <c r="GZ32" s="22"/>
      <c r="HA32" s="22"/>
      <c r="HB32" s="22"/>
      <c r="HC32" s="22"/>
      <c r="HD32" s="22"/>
      <c r="HE32" s="22"/>
      <c r="HF32" s="22"/>
      <c r="HG32" s="22"/>
      <c r="HH32" s="22"/>
      <c r="HI32" s="22"/>
      <c r="HJ32" s="22"/>
      <c r="HK32" s="22"/>
      <c r="HL32" s="22"/>
      <c r="HM32" s="22"/>
      <c r="HN32" s="22"/>
      <c r="HO32" s="22"/>
      <c r="HP32" s="22"/>
      <c r="HQ32" s="22"/>
      <c r="HR32" s="22"/>
      <c r="HS32" s="22"/>
      <c r="HT32" s="22"/>
      <c r="HU32" s="22"/>
      <c r="HV32" s="22"/>
      <c r="HW32" s="22"/>
      <c r="HX32" s="22"/>
      <c r="HY32" s="22"/>
      <c r="HZ32" s="22"/>
      <c r="IA32" s="22"/>
      <c r="IB32" s="22"/>
      <c r="IC32" s="22"/>
      <c r="ID32" s="22"/>
      <c r="IE32" s="22"/>
      <c r="IF32" s="22"/>
      <c r="IG32" s="22"/>
      <c r="IH32" s="22"/>
      <c r="II32" s="22"/>
      <c r="IJ32" s="22"/>
      <c r="IK32" s="22"/>
      <c r="IL32" s="22"/>
      <c r="IM32" s="22"/>
      <c r="IN32" s="22"/>
      <c r="IO32" s="22"/>
      <c r="IP32" s="22"/>
      <c r="IQ32" s="22"/>
      <c r="IR32" s="22"/>
      <c r="IS32" s="22"/>
      <c r="IT32" s="22"/>
    </row>
    <row r="33" spans="1:254" ht="19.5" customHeight="1" x14ac:dyDescent="0.3">
      <c r="A33" s="33" t="s">
        <v>287</v>
      </c>
      <c r="B33" s="29" t="s">
        <v>211</v>
      </c>
      <c r="C33" s="29" t="s">
        <v>118</v>
      </c>
      <c r="D33" s="29" t="s">
        <v>50</v>
      </c>
      <c r="E33" s="29" t="s">
        <v>51</v>
      </c>
      <c r="F33" s="30">
        <f>'В-26,27'!G828</f>
        <v>43651.95</v>
      </c>
      <c r="G33" s="30">
        <f>'В-26,27'!H828</f>
        <v>48467.3</v>
      </c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  <c r="EM33" s="22"/>
      <c r="EN33" s="22"/>
      <c r="EO33" s="22"/>
      <c r="EP33" s="22"/>
      <c r="EQ33" s="22"/>
      <c r="ER33" s="22"/>
      <c r="ES33" s="22"/>
      <c r="ET33" s="22"/>
      <c r="EU33" s="22"/>
      <c r="EV33" s="22"/>
      <c r="EW33" s="22"/>
      <c r="EX33" s="22"/>
      <c r="EY33" s="22"/>
      <c r="EZ33" s="22"/>
      <c r="FA33" s="22"/>
      <c r="FB33" s="22"/>
      <c r="FC33" s="22"/>
      <c r="FD33" s="22"/>
      <c r="FE33" s="22"/>
      <c r="FF33" s="22"/>
      <c r="FG33" s="22"/>
      <c r="FH33" s="22"/>
      <c r="FI33" s="22"/>
      <c r="FJ33" s="22"/>
      <c r="FK33" s="22"/>
      <c r="FL33" s="22"/>
      <c r="FM33" s="22"/>
      <c r="FN33" s="22"/>
      <c r="FO33" s="22"/>
      <c r="FP33" s="22"/>
      <c r="FQ33" s="22"/>
      <c r="FR33" s="22"/>
      <c r="FS33" s="22"/>
      <c r="FT33" s="22"/>
      <c r="FU33" s="22"/>
      <c r="FV33" s="22"/>
      <c r="FW33" s="22"/>
      <c r="FX33" s="22"/>
      <c r="FY33" s="22"/>
      <c r="FZ33" s="22"/>
      <c r="GA33" s="22"/>
      <c r="GB33" s="22"/>
      <c r="GC33" s="22"/>
      <c r="GD33" s="22"/>
      <c r="GE33" s="22"/>
      <c r="GF33" s="22"/>
      <c r="GG33" s="22"/>
      <c r="GH33" s="22"/>
      <c r="GI33" s="22"/>
      <c r="GJ33" s="22"/>
      <c r="GK33" s="22"/>
      <c r="GL33" s="22"/>
      <c r="GM33" s="22"/>
      <c r="GN33" s="22"/>
      <c r="GO33" s="22"/>
      <c r="GP33" s="22"/>
      <c r="GQ33" s="22"/>
      <c r="GR33" s="22"/>
      <c r="GS33" s="22"/>
      <c r="GT33" s="22"/>
      <c r="GU33" s="22"/>
      <c r="GV33" s="22"/>
      <c r="GW33" s="22"/>
      <c r="GX33" s="22"/>
      <c r="GY33" s="22"/>
      <c r="GZ33" s="22"/>
      <c r="HA33" s="22"/>
      <c r="HB33" s="22"/>
      <c r="HC33" s="22"/>
      <c r="HD33" s="22"/>
      <c r="HE33" s="22"/>
      <c r="HF33" s="22"/>
      <c r="HG33" s="22"/>
      <c r="HH33" s="22"/>
      <c r="HI33" s="22"/>
      <c r="HJ33" s="22"/>
      <c r="HK33" s="22"/>
      <c r="HL33" s="22"/>
      <c r="HM33" s="22"/>
      <c r="HN33" s="22"/>
      <c r="HO33" s="22"/>
      <c r="HP33" s="22"/>
      <c r="HQ33" s="22"/>
      <c r="HR33" s="22"/>
      <c r="HS33" s="22"/>
      <c r="HT33" s="22"/>
      <c r="HU33" s="22"/>
      <c r="HV33" s="22"/>
      <c r="HW33" s="22"/>
      <c r="HX33" s="22"/>
      <c r="HY33" s="22"/>
      <c r="HZ33" s="22"/>
      <c r="IA33" s="22"/>
      <c r="IB33" s="22"/>
      <c r="IC33" s="22"/>
      <c r="ID33" s="22"/>
      <c r="IE33" s="22"/>
      <c r="IF33" s="22"/>
      <c r="IG33" s="22"/>
      <c r="IH33" s="22"/>
      <c r="II33" s="22"/>
      <c r="IJ33" s="22"/>
      <c r="IK33" s="22"/>
      <c r="IL33" s="22"/>
      <c r="IM33" s="22"/>
      <c r="IN33" s="22"/>
      <c r="IO33" s="22"/>
      <c r="IP33" s="22"/>
      <c r="IQ33" s="22"/>
      <c r="IR33" s="22"/>
      <c r="IS33" s="22"/>
      <c r="IT33" s="22"/>
    </row>
    <row r="34" spans="1:254" ht="42" hidden="1" customHeight="1" x14ac:dyDescent="0.3">
      <c r="A34" s="86" t="s">
        <v>589</v>
      </c>
      <c r="B34" s="29" t="s">
        <v>211</v>
      </c>
      <c r="C34" s="29" t="s">
        <v>211</v>
      </c>
      <c r="D34" s="29" t="s">
        <v>50</v>
      </c>
      <c r="E34" s="29" t="s">
        <v>51</v>
      </c>
      <c r="F34" s="30">
        <f>'В-26,27'!G916</f>
        <v>0</v>
      </c>
      <c r="G34" s="30">
        <f>'В-26,27'!H916</f>
        <v>-1738.9</v>
      </c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  <c r="EM34" s="22"/>
      <c r="EN34" s="22"/>
      <c r="EO34" s="22"/>
      <c r="EP34" s="22"/>
      <c r="EQ34" s="22"/>
      <c r="ER34" s="22"/>
      <c r="ES34" s="22"/>
      <c r="ET34" s="22"/>
      <c r="EU34" s="22"/>
      <c r="EV34" s="22"/>
      <c r="EW34" s="22"/>
      <c r="EX34" s="22"/>
      <c r="EY34" s="22"/>
      <c r="EZ34" s="22"/>
      <c r="FA34" s="22"/>
      <c r="FB34" s="22"/>
      <c r="FC34" s="22"/>
      <c r="FD34" s="22"/>
      <c r="FE34" s="22"/>
      <c r="FF34" s="22"/>
      <c r="FG34" s="22"/>
      <c r="FH34" s="22"/>
      <c r="FI34" s="22"/>
      <c r="FJ34" s="22"/>
      <c r="FK34" s="22"/>
      <c r="FL34" s="22"/>
      <c r="FM34" s="22"/>
      <c r="FN34" s="22"/>
      <c r="FO34" s="22"/>
      <c r="FP34" s="22"/>
      <c r="FQ34" s="22"/>
      <c r="FR34" s="22"/>
      <c r="FS34" s="22"/>
      <c r="FT34" s="22"/>
      <c r="FU34" s="22"/>
      <c r="FV34" s="22"/>
      <c r="FW34" s="22"/>
      <c r="FX34" s="22"/>
      <c r="FY34" s="22"/>
      <c r="FZ34" s="22"/>
      <c r="GA34" s="22"/>
      <c r="GB34" s="22"/>
      <c r="GC34" s="22"/>
      <c r="GD34" s="22"/>
      <c r="GE34" s="22"/>
      <c r="GF34" s="22"/>
      <c r="GG34" s="22"/>
      <c r="GH34" s="22"/>
      <c r="GI34" s="22"/>
      <c r="GJ34" s="22"/>
      <c r="GK34" s="22"/>
      <c r="GL34" s="22"/>
      <c r="GM34" s="22"/>
      <c r="GN34" s="22"/>
      <c r="GO34" s="22"/>
      <c r="GP34" s="22"/>
      <c r="GQ34" s="22"/>
      <c r="GR34" s="22"/>
      <c r="GS34" s="22"/>
      <c r="GT34" s="22"/>
      <c r="GU34" s="22"/>
      <c r="GV34" s="22"/>
      <c r="GW34" s="22"/>
      <c r="GX34" s="22"/>
      <c r="GY34" s="22"/>
      <c r="GZ34" s="22"/>
      <c r="HA34" s="22"/>
      <c r="HB34" s="22"/>
      <c r="HC34" s="22"/>
      <c r="HD34" s="22"/>
      <c r="HE34" s="22"/>
      <c r="HF34" s="22"/>
      <c r="HG34" s="22"/>
      <c r="HH34" s="22"/>
      <c r="HI34" s="22"/>
      <c r="HJ34" s="22"/>
      <c r="HK34" s="22"/>
      <c r="HL34" s="22"/>
      <c r="HM34" s="22"/>
      <c r="HN34" s="22"/>
      <c r="HO34" s="22"/>
      <c r="HP34" s="22"/>
      <c r="HQ34" s="22"/>
      <c r="HR34" s="22"/>
      <c r="HS34" s="22"/>
      <c r="HT34" s="22"/>
      <c r="HU34" s="22"/>
      <c r="HV34" s="22"/>
      <c r="HW34" s="22"/>
      <c r="HX34" s="22"/>
      <c r="HY34" s="22"/>
      <c r="HZ34" s="22"/>
      <c r="IA34" s="22"/>
      <c r="IB34" s="22"/>
      <c r="IC34" s="22"/>
      <c r="ID34" s="22"/>
      <c r="IE34" s="22"/>
      <c r="IF34" s="22"/>
      <c r="IG34" s="22"/>
      <c r="IH34" s="22"/>
      <c r="II34" s="22"/>
      <c r="IJ34" s="22"/>
      <c r="IK34" s="22"/>
      <c r="IL34" s="22"/>
      <c r="IM34" s="22"/>
      <c r="IN34" s="22"/>
      <c r="IO34" s="22"/>
      <c r="IP34" s="22"/>
      <c r="IQ34" s="22"/>
      <c r="IR34" s="22"/>
      <c r="IS34" s="22"/>
      <c r="IT34" s="22"/>
    </row>
    <row r="35" spans="1:254" ht="17.25" customHeight="1" x14ac:dyDescent="0.3">
      <c r="A35" s="33" t="s">
        <v>296</v>
      </c>
      <c r="B35" s="29" t="s">
        <v>120</v>
      </c>
      <c r="C35" s="29" t="s">
        <v>113</v>
      </c>
      <c r="D35" s="29" t="s">
        <v>50</v>
      </c>
      <c r="E35" s="29" t="s">
        <v>51</v>
      </c>
      <c r="F35" s="30">
        <f>F36+F37</f>
        <v>500</v>
      </c>
      <c r="G35" s="30">
        <f>G36+G37</f>
        <v>500</v>
      </c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  <c r="EM35" s="22"/>
      <c r="EN35" s="22"/>
      <c r="EO35" s="22"/>
      <c r="EP35" s="22"/>
      <c r="EQ35" s="22"/>
      <c r="ER35" s="22"/>
      <c r="ES35" s="22"/>
      <c r="ET35" s="22"/>
      <c r="EU35" s="22"/>
      <c r="EV35" s="22"/>
      <c r="EW35" s="22"/>
      <c r="EX35" s="22"/>
      <c r="EY35" s="22"/>
      <c r="EZ35" s="22"/>
      <c r="FA35" s="22"/>
      <c r="FB35" s="22"/>
      <c r="FC35" s="22"/>
      <c r="FD35" s="22"/>
      <c r="FE35" s="22"/>
      <c r="FF35" s="22"/>
      <c r="FG35" s="22"/>
      <c r="FH35" s="22"/>
      <c r="FI35" s="22"/>
      <c r="FJ35" s="22"/>
      <c r="FK35" s="22"/>
      <c r="FL35" s="22"/>
      <c r="FM35" s="22"/>
      <c r="FN35" s="22"/>
      <c r="FO35" s="22"/>
      <c r="FP35" s="22"/>
      <c r="FQ35" s="22"/>
      <c r="FR35" s="22"/>
      <c r="FS35" s="22"/>
      <c r="FT35" s="22"/>
      <c r="FU35" s="22"/>
      <c r="FV35" s="22"/>
      <c r="FW35" s="22"/>
      <c r="FX35" s="22"/>
      <c r="FY35" s="22"/>
      <c r="FZ35" s="22"/>
      <c r="GA35" s="22"/>
      <c r="GB35" s="22"/>
      <c r="GC35" s="22"/>
      <c r="GD35" s="22"/>
      <c r="GE35" s="22"/>
      <c r="GF35" s="22"/>
      <c r="GG35" s="22"/>
      <c r="GH35" s="22"/>
      <c r="GI35" s="22"/>
      <c r="GJ35" s="22"/>
      <c r="GK35" s="22"/>
      <c r="GL35" s="22"/>
      <c r="GM35" s="22"/>
      <c r="GN35" s="22"/>
      <c r="GO35" s="22"/>
      <c r="GP35" s="22"/>
      <c r="GQ35" s="22"/>
      <c r="GR35" s="22"/>
      <c r="GS35" s="22"/>
      <c r="GT35" s="22"/>
      <c r="GU35" s="22"/>
      <c r="GV35" s="22"/>
      <c r="GW35" s="22"/>
      <c r="GX35" s="22"/>
      <c r="GY35" s="22"/>
      <c r="GZ35" s="22"/>
      <c r="HA35" s="22"/>
      <c r="HB35" s="22"/>
      <c r="HC35" s="22"/>
      <c r="HD35" s="22"/>
      <c r="HE35" s="22"/>
      <c r="HF35" s="22"/>
      <c r="HG35" s="22"/>
      <c r="HH35" s="22"/>
      <c r="HI35" s="22"/>
      <c r="HJ35" s="22"/>
      <c r="HK35" s="22"/>
      <c r="HL35" s="22"/>
      <c r="HM35" s="22"/>
      <c r="HN35" s="22"/>
      <c r="HO35" s="22"/>
      <c r="HP35" s="22"/>
      <c r="HQ35" s="22"/>
      <c r="HR35" s="22"/>
      <c r="HS35" s="22"/>
      <c r="HT35" s="22"/>
      <c r="HU35" s="22"/>
      <c r="HV35" s="22"/>
      <c r="HW35" s="22"/>
      <c r="HX35" s="22"/>
      <c r="HY35" s="22"/>
      <c r="HZ35" s="22"/>
      <c r="IA35" s="22"/>
      <c r="IB35" s="22"/>
      <c r="IC35" s="22"/>
      <c r="ID35" s="22"/>
      <c r="IE35" s="22"/>
      <c r="IF35" s="22"/>
      <c r="IG35" s="22"/>
      <c r="IH35" s="22"/>
      <c r="II35" s="22"/>
      <c r="IJ35" s="22"/>
      <c r="IK35" s="22"/>
      <c r="IL35" s="22"/>
      <c r="IM35" s="22"/>
      <c r="IN35" s="22"/>
      <c r="IO35" s="22"/>
      <c r="IP35" s="22"/>
      <c r="IQ35" s="22"/>
      <c r="IR35" s="22"/>
      <c r="IS35" s="22"/>
      <c r="IT35" s="22"/>
    </row>
    <row r="36" spans="1:254" ht="36.75" customHeight="1" x14ac:dyDescent="0.3">
      <c r="A36" s="33" t="s">
        <v>297</v>
      </c>
      <c r="B36" s="29" t="s">
        <v>120</v>
      </c>
      <c r="C36" s="29" t="s">
        <v>118</v>
      </c>
      <c r="D36" s="29" t="s">
        <v>50</v>
      </c>
      <c r="E36" s="29" t="s">
        <v>51</v>
      </c>
      <c r="F36" s="30">
        <f>'В-26,27'!G924</f>
        <v>500</v>
      </c>
      <c r="G36" s="30">
        <f>'В-26,27'!H924</f>
        <v>500</v>
      </c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  <c r="EM36" s="22"/>
      <c r="EN36" s="22"/>
      <c r="EO36" s="22"/>
      <c r="EP36" s="22"/>
      <c r="EQ36" s="22"/>
      <c r="ER36" s="22"/>
      <c r="ES36" s="22"/>
      <c r="ET36" s="22"/>
      <c r="EU36" s="22"/>
      <c r="EV36" s="22"/>
      <c r="EW36" s="22"/>
      <c r="EX36" s="22"/>
      <c r="EY36" s="22"/>
      <c r="EZ36" s="22"/>
      <c r="FA36" s="22"/>
      <c r="FB36" s="22"/>
      <c r="FC36" s="22"/>
      <c r="FD36" s="22"/>
      <c r="FE36" s="22"/>
      <c r="FF36" s="22"/>
      <c r="FG36" s="22"/>
      <c r="FH36" s="22"/>
      <c r="FI36" s="22"/>
      <c r="FJ36" s="22"/>
      <c r="FK36" s="22"/>
      <c r="FL36" s="22"/>
      <c r="FM36" s="22"/>
      <c r="FN36" s="22"/>
      <c r="FO36" s="22"/>
      <c r="FP36" s="22"/>
      <c r="FQ36" s="22"/>
      <c r="FR36" s="22"/>
      <c r="FS36" s="22"/>
      <c r="FT36" s="22"/>
      <c r="FU36" s="22"/>
      <c r="FV36" s="22"/>
      <c r="FW36" s="22"/>
      <c r="FX36" s="22"/>
      <c r="FY36" s="22"/>
      <c r="FZ36" s="22"/>
      <c r="GA36" s="22"/>
      <c r="GB36" s="22"/>
      <c r="GC36" s="22"/>
      <c r="GD36" s="22"/>
      <c r="GE36" s="22"/>
      <c r="GF36" s="22"/>
      <c r="GG36" s="22"/>
      <c r="GH36" s="22"/>
      <c r="GI36" s="22"/>
      <c r="GJ36" s="22"/>
      <c r="GK36" s="22"/>
      <c r="GL36" s="22"/>
      <c r="GM36" s="22"/>
      <c r="GN36" s="22"/>
      <c r="GO36" s="22"/>
      <c r="GP36" s="22"/>
      <c r="GQ36" s="22"/>
      <c r="GR36" s="22"/>
      <c r="GS36" s="22"/>
      <c r="GT36" s="22"/>
      <c r="GU36" s="22"/>
      <c r="GV36" s="22"/>
      <c r="GW36" s="22"/>
      <c r="GX36" s="22"/>
      <c r="GY36" s="22"/>
      <c r="GZ36" s="22"/>
      <c r="HA36" s="22"/>
      <c r="HB36" s="22"/>
      <c r="HC36" s="22"/>
      <c r="HD36" s="22"/>
      <c r="HE36" s="22"/>
      <c r="HF36" s="22"/>
      <c r="HG36" s="22"/>
      <c r="HH36" s="22"/>
      <c r="HI36" s="22"/>
      <c r="HJ36" s="22"/>
      <c r="HK36" s="22"/>
      <c r="HL36" s="22"/>
      <c r="HM36" s="22"/>
      <c r="HN36" s="22"/>
      <c r="HO36" s="22"/>
      <c r="HP36" s="22"/>
      <c r="HQ36" s="22"/>
      <c r="HR36" s="22"/>
      <c r="HS36" s="22"/>
      <c r="HT36" s="22"/>
      <c r="HU36" s="22"/>
      <c r="HV36" s="22"/>
      <c r="HW36" s="22"/>
      <c r="HX36" s="22"/>
      <c r="HY36" s="22"/>
      <c r="HZ36" s="22"/>
      <c r="IA36" s="22"/>
      <c r="IB36" s="22"/>
      <c r="IC36" s="22"/>
      <c r="ID36" s="22"/>
      <c r="IE36" s="22"/>
      <c r="IF36" s="22"/>
      <c r="IG36" s="22"/>
      <c r="IH36" s="22"/>
      <c r="II36" s="22"/>
      <c r="IJ36" s="22"/>
      <c r="IK36" s="22"/>
      <c r="IL36" s="22"/>
      <c r="IM36" s="22"/>
      <c r="IN36" s="22"/>
      <c r="IO36" s="22"/>
      <c r="IP36" s="22"/>
      <c r="IQ36" s="22"/>
      <c r="IR36" s="22"/>
      <c r="IS36" s="22"/>
      <c r="IT36" s="22"/>
    </row>
    <row r="37" spans="1:254" ht="36.75" hidden="1" customHeight="1" x14ac:dyDescent="0.3">
      <c r="A37" s="33" t="s">
        <v>298</v>
      </c>
      <c r="B37" s="29" t="s">
        <v>120</v>
      </c>
      <c r="C37" s="29" t="s">
        <v>211</v>
      </c>
      <c r="D37" s="29" t="s">
        <v>50</v>
      </c>
      <c r="E37" s="29" t="s">
        <v>51</v>
      </c>
      <c r="F37" s="30">
        <f>'В-26,27'!G930</f>
        <v>0</v>
      </c>
      <c r="G37" s="30">
        <f>'В-26,27'!H930</f>
        <v>0</v>
      </c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22"/>
      <c r="EI37" s="22"/>
      <c r="EJ37" s="22"/>
      <c r="EK37" s="22"/>
      <c r="EL37" s="22"/>
      <c r="EM37" s="22"/>
      <c r="EN37" s="22"/>
      <c r="EO37" s="22"/>
      <c r="EP37" s="22"/>
      <c r="EQ37" s="22"/>
      <c r="ER37" s="22"/>
      <c r="ES37" s="22"/>
      <c r="ET37" s="22"/>
      <c r="EU37" s="22"/>
      <c r="EV37" s="22"/>
      <c r="EW37" s="22"/>
      <c r="EX37" s="22"/>
      <c r="EY37" s="22"/>
      <c r="EZ37" s="22"/>
      <c r="FA37" s="22"/>
      <c r="FB37" s="22"/>
      <c r="FC37" s="22"/>
      <c r="FD37" s="22"/>
      <c r="FE37" s="22"/>
      <c r="FF37" s="22"/>
      <c r="FG37" s="22"/>
      <c r="FH37" s="22"/>
      <c r="FI37" s="22"/>
      <c r="FJ37" s="22"/>
      <c r="FK37" s="22"/>
      <c r="FL37" s="22"/>
      <c r="FM37" s="22"/>
      <c r="FN37" s="22"/>
      <c r="FO37" s="22"/>
      <c r="FP37" s="22"/>
      <c r="FQ37" s="22"/>
      <c r="FR37" s="22"/>
      <c r="FS37" s="22"/>
      <c r="FT37" s="22"/>
      <c r="FU37" s="22"/>
      <c r="FV37" s="22"/>
      <c r="FW37" s="22"/>
      <c r="FX37" s="22"/>
      <c r="FY37" s="22"/>
      <c r="FZ37" s="22"/>
      <c r="GA37" s="22"/>
      <c r="GB37" s="22"/>
      <c r="GC37" s="22"/>
      <c r="GD37" s="22"/>
      <c r="GE37" s="22"/>
      <c r="GF37" s="22"/>
      <c r="GG37" s="22"/>
      <c r="GH37" s="22"/>
      <c r="GI37" s="22"/>
      <c r="GJ37" s="22"/>
      <c r="GK37" s="22"/>
      <c r="GL37" s="22"/>
      <c r="GM37" s="22"/>
      <c r="GN37" s="22"/>
      <c r="GO37" s="22"/>
      <c r="GP37" s="22"/>
      <c r="GQ37" s="22"/>
      <c r="GR37" s="22"/>
      <c r="GS37" s="22"/>
      <c r="GT37" s="22"/>
      <c r="GU37" s="22"/>
      <c r="GV37" s="22"/>
      <c r="GW37" s="22"/>
      <c r="GX37" s="22"/>
      <c r="GY37" s="22"/>
      <c r="GZ37" s="22"/>
      <c r="HA37" s="22"/>
      <c r="HB37" s="22"/>
      <c r="HC37" s="22"/>
      <c r="HD37" s="22"/>
      <c r="HE37" s="22"/>
      <c r="HF37" s="22"/>
      <c r="HG37" s="22"/>
      <c r="HH37" s="22"/>
      <c r="HI37" s="22"/>
      <c r="HJ37" s="22"/>
      <c r="HK37" s="22"/>
      <c r="HL37" s="22"/>
      <c r="HM37" s="22"/>
      <c r="HN37" s="22"/>
      <c r="HO37" s="22"/>
      <c r="HP37" s="22"/>
      <c r="HQ37" s="22"/>
      <c r="HR37" s="22"/>
      <c r="HS37" s="22"/>
      <c r="HT37" s="22"/>
      <c r="HU37" s="22"/>
      <c r="HV37" s="22"/>
      <c r="HW37" s="22"/>
      <c r="HX37" s="22"/>
      <c r="HY37" s="22"/>
      <c r="HZ37" s="22"/>
      <c r="IA37" s="22"/>
      <c r="IB37" s="22"/>
      <c r="IC37" s="22"/>
      <c r="ID37" s="22"/>
      <c r="IE37" s="22"/>
      <c r="IF37" s="22"/>
      <c r="IG37" s="22"/>
      <c r="IH37" s="22"/>
      <c r="II37" s="22"/>
      <c r="IJ37" s="22"/>
      <c r="IK37" s="22"/>
      <c r="IL37" s="22"/>
      <c r="IM37" s="22"/>
      <c r="IN37" s="22"/>
      <c r="IO37" s="22"/>
      <c r="IP37" s="22"/>
      <c r="IQ37" s="22"/>
      <c r="IR37" s="22"/>
      <c r="IS37" s="22"/>
      <c r="IT37" s="22"/>
    </row>
    <row r="38" spans="1:254" ht="18.75" x14ac:dyDescent="0.3">
      <c r="A38" s="33" t="s">
        <v>123</v>
      </c>
      <c r="B38" s="29" t="s">
        <v>124</v>
      </c>
      <c r="C38" s="29" t="s">
        <v>113</v>
      </c>
      <c r="D38" s="29" t="s">
        <v>50</v>
      </c>
      <c r="E38" s="29" t="s">
        <v>51</v>
      </c>
      <c r="F38" s="30">
        <f>SUM(F39:F45)</f>
        <v>749370.17</v>
      </c>
      <c r="G38" s="30">
        <f>SUM(G39:G45)</f>
        <v>667967.47000000009</v>
      </c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22"/>
      <c r="EI38" s="22"/>
      <c r="EJ38" s="22"/>
      <c r="EK38" s="22"/>
      <c r="EL38" s="22"/>
      <c r="EM38" s="22"/>
      <c r="EN38" s="22"/>
      <c r="EO38" s="22"/>
      <c r="EP38" s="22"/>
      <c r="EQ38" s="22"/>
      <c r="ER38" s="22"/>
      <c r="ES38" s="22"/>
      <c r="ET38" s="22"/>
      <c r="EU38" s="22"/>
      <c r="EV38" s="22"/>
      <c r="EW38" s="22"/>
      <c r="EX38" s="22"/>
      <c r="EY38" s="22"/>
      <c r="EZ38" s="22"/>
      <c r="FA38" s="22"/>
      <c r="FB38" s="22"/>
      <c r="FC38" s="22"/>
      <c r="FD38" s="22"/>
      <c r="FE38" s="22"/>
      <c r="FF38" s="22"/>
      <c r="FG38" s="22"/>
      <c r="FH38" s="22"/>
      <c r="FI38" s="22"/>
      <c r="FJ38" s="22"/>
      <c r="FK38" s="22"/>
      <c r="FL38" s="22"/>
      <c r="FM38" s="22"/>
      <c r="FN38" s="22"/>
      <c r="FO38" s="22"/>
      <c r="FP38" s="22"/>
      <c r="FQ38" s="22"/>
      <c r="FR38" s="22"/>
      <c r="FS38" s="22"/>
      <c r="FT38" s="22"/>
      <c r="FU38" s="22"/>
      <c r="FV38" s="22"/>
      <c r="FW38" s="22"/>
      <c r="FX38" s="22"/>
      <c r="FY38" s="22"/>
      <c r="FZ38" s="22"/>
      <c r="GA38" s="22"/>
      <c r="GB38" s="22"/>
      <c r="GC38" s="22"/>
      <c r="GD38" s="22"/>
      <c r="GE38" s="22"/>
      <c r="GF38" s="22"/>
      <c r="GG38" s="22"/>
      <c r="GH38" s="22"/>
      <c r="GI38" s="22"/>
      <c r="GJ38" s="22"/>
      <c r="GK38" s="22"/>
      <c r="GL38" s="22"/>
      <c r="GM38" s="22"/>
      <c r="GN38" s="22"/>
      <c r="GO38" s="22"/>
      <c r="GP38" s="22"/>
      <c r="GQ38" s="22"/>
      <c r="GR38" s="22"/>
      <c r="GS38" s="22"/>
      <c r="GT38" s="22"/>
      <c r="GU38" s="22"/>
      <c r="GV38" s="22"/>
      <c r="GW38" s="22"/>
      <c r="GX38" s="22"/>
      <c r="GY38" s="22"/>
      <c r="GZ38" s="22"/>
      <c r="HA38" s="22"/>
      <c r="HB38" s="22"/>
      <c r="HC38" s="22"/>
      <c r="HD38" s="22"/>
      <c r="HE38" s="22"/>
      <c r="HF38" s="22"/>
      <c r="HG38" s="22"/>
      <c r="HH38" s="22"/>
      <c r="HI38" s="22"/>
      <c r="HJ38" s="22"/>
      <c r="HK38" s="22"/>
      <c r="HL38" s="22"/>
      <c r="HM38" s="22"/>
      <c r="HN38" s="22"/>
      <c r="HO38" s="22"/>
      <c r="HP38" s="22"/>
      <c r="HQ38" s="22"/>
      <c r="HR38" s="22"/>
      <c r="HS38" s="22"/>
      <c r="HT38" s="22"/>
      <c r="HU38" s="22"/>
      <c r="HV38" s="22"/>
      <c r="HW38" s="22"/>
      <c r="HX38" s="22"/>
      <c r="HY38" s="22"/>
      <c r="HZ38" s="22"/>
      <c r="IA38" s="22"/>
      <c r="IB38" s="22"/>
      <c r="IC38" s="22"/>
      <c r="ID38" s="22"/>
      <c r="IE38" s="22"/>
      <c r="IF38" s="22"/>
      <c r="IG38" s="22"/>
      <c r="IH38" s="22"/>
      <c r="II38" s="22"/>
      <c r="IJ38" s="22"/>
      <c r="IK38" s="22"/>
      <c r="IL38" s="22"/>
      <c r="IM38" s="22"/>
      <c r="IN38" s="22"/>
      <c r="IO38" s="22"/>
      <c r="IP38" s="22"/>
      <c r="IQ38" s="22"/>
      <c r="IR38" s="22"/>
      <c r="IS38" s="22"/>
      <c r="IT38" s="22"/>
    </row>
    <row r="39" spans="1:254" ht="18.75" x14ac:dyDescent="0.3">
      <c r="A39" s="33" t="s">
        <v>125</v>
      </c>
      <c r="B39" s="29" t="s">
        <v>124</v>
      </c>
      <c r="C39" s="79" t="s">
        <v>116</v>
      </c>
      <c r="D39" s="29" t="s">
        <v>50</v>
      </c>
      <c r="E39" s="29" t="s">
        <v>51</v>
      </c>
      <c r="F39" s="30">
        <f>'В-26,27'!G37</f>
        <v>338906.30000000005</v>
      </c>
      <c r="G39" s="30">
        <f>'В-26,27'!H37</f>
        <v>350506.30000000005</v>
      </c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2"/>
      <c r="DW39" s="22"/>
      <c r="DX39" s="22"/>
      <c r="DY39" s="22"/>
      <c r="DZ39" s="22"/>
      <c r="EA39" s="22"/>
      <c r="EB39" s="22"/>
      <c r="EC39" s="22"/>
      <c r="ED39" s="22"/>
      <c r="EE39" s="22"/>
      <c r="EF39" s="22"/>
      <c r="EG39" s="22"/>
      <c r="EH39" s="22"/>
      <c r="EI39" s="22"/>
      <c r="EJ39" s="22"/>
      <c r="EK39" s="22"/>
      <c r="EL39" s="22"/>
      <c r="EM39" s="22"/>
      <c r="EN39" s="22"/>
      <c r="EO39" s="22"/>
      <c r="EP39" s="22"/>
      <c r="EQ39" s="22"/>
      <c r="ER39" s="22"/>
      <c r="ES39" s="22"/>
      <c r="ET39" s="22"/>
      <c r="EU39" s="22"/>
      <c r="EV39" s="22"/>
      <c r="EW39" s="22"/>
      <c r="EX39" s="22"/>
      <c r="EY39" s="22"/>
      <c r="EZ39" s="22"/>
      <c r="FA39" s="22"/>
      <c r="FB39" s="22"/>
      <c r="FC39" s="22"/>
      <c r="FD39" s="22"/>
      <c r="FE39" s="22"/>
      <c r="FF39" s="22"/>
      <c r="FG39" s="22"/>
      <c r="FH39" s="22"/>
      <c r="FI39" s="22"/>
      <c r="FJ39" s="22"/>
      <c r="FK39" s="22"/>
      <c r="FL39" s="22"/>
      <c r="FM39" s="22"/>
      <c r="FN39" s="22"/>
      <c r="FO39" s="22"/>
      <c r="FP39" s="22"/>
      <c r="FQ39" s="22"/>
      <c r="FR39" s="22"/>
      <c r="FS39" s="22"/>
      <c r="FT39" s="22"/>
      <c r="FU39" s="22"/>
      <c r="FV39" s="22"/>
      <c r="FW39" s="22"/>
      <c r="FX39" s="22"/>
      <c r="FY39" s="22"/>
      <c r="FZ39" s="22"/>
      <c r="GA39" s="22"/>
      <c r="GB39" s="22"/>
      <c r="GC39" s="22"/>
      <c r="GD39" s="22"/>
      <c r="GE39" s="22"/>
      <c r="GF39" s="22"/>
      <c r="GG39" s="22"/>
      <c r="GH39" s="22"/>
      <c r="GI39" s="22"/>
      <c r="GJ39" s="22"/>
      <c r="GK39" s="22"/>
      <c r="GL39" s="22"/>
      <c r="GM39" s="22"/>
      <c r="GN39" s="22"/>
      <c r="GO39" s="22"/>
      <c r="GP39" s="22"/>
      <c r="GQ39" s="22"/>
      <c r="GR39" s="22"/>
      <c r="GS39" s="22"/>
      <c r="GT39" s="22"/>
      <c r="GU39" s="22"/>
      <c r="GV39" s="22"/>
      <c r="GW39" s="22"/>
      <c r="GX39" s="22"/>
      <c r="GY39" s="22"/>
      <c r="GZ39" s="22"/>
      <c r="HA39" s="22"/>
      <c r="HB39" s="22"/>
      <c r="HC39" s="22"/>
      <c r="HD39" s="22"/>
      <c r="HE39" s="22"/>
      <c r="HF39" s="22"/>
      <c r="HG39" s="22"/>
      <c r="HH39" s="22"/>
      <c r="HI39" s="22"/>
      <c r="HJ39" s="22"/>
      <c r="HK39" s="22"/>
      <c r="HL39" s="22"/>
      <c r="HM39" s="22"/>
      <c r="HN39" s="22"/>
      <c r="HO39" s="22"/>
      <c r="HP39" s="22"/>
      <c r="HQ39" s="22"/>
      <c r="HR39" s="22"/>
      <c r="HS39" s="22"/>
      <c r="HT39" s="22"/>
      <c r="HU39" s="22"/>
      <c r="HV39" s="22"/>
      <c r="HW39" s="22"/>
      <c r="HX39" s="22"/>
      <c r="HY39" s="22"/>
      <c r="HZ39" s="22"/>
      <c r="IA39" s="22"/>
      <c r="IB39" s="22"/>
      <c r="IC39" s="22"/>
      <c r="ID39" s="22"/>
      <c r="IE39" s="22"/>
      <c r="IF39" s="22"/>
      <c r="IG39" s="22"/>
      <c r="IH39" s="22"/>
      <c r="II39" s="22"/>
      <c r="IJ39" s="22"/>
      <c r="IK39" s="22"/>
      <c r="IL39" s="22"/>
      <c r="IM39" s="22"/>
      <c r="IN39" s="22"/>
      <c r="IO39" s="22"/>
      <c r="IP39" s="22"/>
      <c r="IQ39" s="22"/>
      <c r="IR39" s="22"/>
      <c r="IS39" s="22"/>
      <c r="IT39" s="22"/>
    </row>
    <row r="40" spans="1:254" ht="18.75" x14ac:dyDescent="0.3">
      <c r="A40" s="33" t="s">
        <v>126</v>
      </c>
      <c r="B40" s="29" t="s">
        <v>124</v>
      </c>
      <c r="C40" s="79" t="s">
        <v>117</v>
      </c>
      <c r="D40" s="29" t="s">
        <v>50</v>
      </c>
      <c r="E40" s="29" t="s">
        <v>51</v>
      </c>
      <c r="F40" s="30">
        <f>'В-26,27'!G66+'В-26,27'!G954</f>
        <v>358158</v>
      </c>
      <c r="G40" s="30">
        <f>'В-26,27'!H66+'В-26,27'!H954</f>
        <v>265155.3</v>
      </c>
      <c r="H40" s="30">
        <f>'В-26,27'!I66+'В-26,27'!I954</f>
        <v>0</v>
      </c>
      <c r="I40" s="30">
        <f>'В-26,27'!J66+'В-26,27'!J954</f>
        <v>0</v>
      </c>
      <c r="J40" s="30">
        <f>'В-26,27'!K66+'В-26,27'!K954</f>
        <v>0</v>
      </c>
      <c r="K40" s="30">
        <f>'В-26,27'!L66+'В-26,27'!L954</f>
        <v>0</v>
      </c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  <c r="DV40" s="22"/>
      <c r="DW40" s="22"/>
      <c r="DX40" s="22"/>
      <c r="DY40" s="22"/>
      <c r="DZ40" s="22"/>
      <c r="EA40" s="22"/>
      <c r="EB40" s="22"/>
      <c r="EC40" s="22"/>
      <c r="ED40" s="22"/>
      <c r="EE40" s="22"/>
      <c r="EF40" s="22"/>
      <c r="EG40" s="22"/>
      <c r="EH40" s="22"/>
      <c r="EI40" s="22"/>
      <c r="EJ40" s="22"/>
      <c r="EK40" s="22"/>
      <c r="EL40" s="22"/>
      <c r="EM40" s="22"/>
      <c r="EN40" s="22"/>
      <c r="EO40" s="22"/>
      <c r="EP40" s="22"/>
      <c r="EQ40" s="22"/>
      <c r="ER40" s="22"/>
      <c r="ES40" s="22"/>
      <c r="ET40" s="22"/>
      <c r="EU40" s="22"/>
      <c r="EV40" s="22"/>
      <c r="EW40" s="22"/>
      <c r="EX40" s="22"/>
      <c r="EY40" s="22"/>
      <c r="EZ40" s="22"/>
      <c r="FA40" s="22"/>
      <c r="FB40" s="22"/>
      <c r="FC40" s="22"/>
      <c r="FD40" s="22"/>
      <c r="FE40" s="22"/>
      <c r="FF40" s="22"/>
      <c r="FG40" s="22"/>
      <c r="FH40" s="22"/>
      <c r="FI40" s="22"/>
      <c r="FJ40" s="22"/>
      <c r="FK40" s="22"/>
      <c r="FL40" s="22"/>
      <c r="FM40" s="22"/>
      <c r="FN40" s="22"/>
      <c r="FO40" s="22"/>
      <c r="FP40" s="22"/>
      <c r="FQ40" s="22"/>
      <c r="FR40" s="22"/>
      <c r="FS40" s="22"/>
      <c r="FT40" s="22"/>
      <c r="FU40" s="22"/>
      <c r="FV40" s="22"/>
      <c r="FW40" s="22"/>
      <c r="FX40" s="22"/>
      <c r="FY40" s="22"/>
      <c r="FZ40" s="22"/>
      <c r="GA40" s="22"/>
      <c r="GB40" s="22"/>
      <c r="GC40" s="22"/>
      <c r="GD40" s="22"/>
      <c r="GE40" s="22"/>
      <c r="GF40" s="22"/>
      <c r="GG40" s="22"/>
      <c r="GH40" s="22"/>
      <c r="GI40" s="22"/>
      <c r="GJ40" s="22"/>
      <c r="GK40" s="22"/>
      <c r="GL40" s="22"/>
      <c r="GM40" s="22"/>
      <c r="GN40" s="22"/>
      <c r="GO40" s="22"/>
      <c r="GP40" s="22"/>
      <c r="GQ40" s="22"/>
      <c r="GR40" s="22"/>
      <c r="GS40" s="22"/>
      <c r="GT40" s="22"/>
      <c r="GU40" s="22"/>
      <c r="GV40" s="22"/>
      <c r="GW40" s="22"/>
      <c r="GX40" s="22"/>
      <c r="GY40" s="22"/>
      <c r="GZ40" s="22"/>
      <c r="HA40" s="22"/>
      <c r="HB40" s="22"/>
      <c r="HC40" s="22"/>
      <c r="HD40" s="22"/>
      <c r="HE40" s="22"/>
      <c r="HF40" s="22"/>
      <c r="HG40" s="22"/>
      <c r="HH40" s="22"/>
      <c r="HI40" s="22"/>
      <c r="HJ40" s="22"/>
      <c r="HK40" s="22"/>
      <c r="HL40" s="22"/>
      <c r="HM40" s="22"/>
      <c r="HN40" s="22"/>
      <c r="HO40" s="22"/>
      <c r="HP40" s="22"/>
      <c r="HQ40" s="22"/>
      <c r="HR40" s="22"/>
      <c r="HS40" s="22"/>
      <c r="HT40" s="22"/>
      <c r="HU40" s="22"/>
      <c r="HV40" s="22"/>
      <c r="HW40" s="22"/>
      <c r="HX40" s="22"/>
      <c r="HY40" s="22"/>
      <c r="HZ40" s="22"/>
      <c r="IA40" s="22"/>
      <c r="IB40" s="22"/>
      <c r="IC40" s="22"/>
      <c r="ID40" s="22"/>
      <c r="IE40" s="22"/>
      <c r="IF40" s="22"/>
      <c r="IG40" s="22"/>
      <c r="IH40" s="22"/>
      <c r="II40" s="22"/>
      <c r="IJ40" s="22"/>
      <c r="IK40" s="22"/>
      <c r="IL40" s="22"/>
      <c r="IM40" s="22"/>
      <c r="IN40" s="22"/>
      <c r="IO40" s="22"/>
      <c r="IP40" s="22"/>
      <c r="IQ40" s="22"/>
      <c r="IR40" s="22"/>
      <c r="IS40" s="22"/>
      <c r="IT40" s="22"/>
    </row>
    <row r="41" spans="1:254" ht="18.75" x14ac:dyDescent="0.3">
      <c r="A41" s="37" t="s">
        <v>127</v>
      </c>
      <c r="B41" s="29" t="s">
        <v>124</v>
      </c>
      <c r="C41" s="79" t="s">
        <v>118</v>
      </c>
      <c r="D41" s="29" t="s">
        <v>50</v>
      </c>
      <c r="E41" s="29" t="s">
        <v>51</v>
      </c>
      <c r="F41" s="30">
        <f>'В-26,27'!G971+'В-26,27'!G153</f>
        <v>29230.100000000002</v>
      </c>
      <c r="G41" s="30">
        <f>'В-26,27'!H971+'В-26,27'!H153</f>
        <v>29230.100000000002</v>
      </c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  <c r="DV41" s="22"/>
      <c r="DW41" s="22"/>
      <c r="DX41" s="22"/>
      <c r="DY41" s="22"/>
      <c r="DZ41" s="22"/>
      <c r="EA41" s="22"/>
      <c r="EB41" s="22"/>
      <c r="EC41" s="22"/>
      <c r="ED41" s="22"/>
      <c r="EE41" s="22"/>
      <c r="EF41" s="22"/>
      <c r="EG41" s="22"/>
      <c r="EH41" s="22"/>
      <c r="EI41" s="22"/>
      <c r="EJ41" s="22"/>
      <c r="EK41" s="22"/>
      <c r="EL41" s="22"/>
      <c r="EM41" s="22"/>
      <c r="EN41" s="22"/>
      <c r="EO41" s="22"/>
      <c r="EP41" s="22"/>
      <c r="EQ41" s="22"/>
      <c r="ER41" s="22"/>
      <c r="ES41" s="22"/>
      <c r="ET41" s="22"/>
      <c r="EU41" s="22"/>
      <c r="EV41" s="22"/>
      <c r="EW41" s="22"/>
      <c r="EX41" s="22"/>
      <c r="EY41" s="22"/>
      <c r="EZ41" s="22"/>
      <c r="FA41" s="22"/>
      <c r="FB41" s="22"/>
      <c r="FC41" s="22"/>
      <c r="FD41" s="22"/>
      <c r="FE41" s="22"/>
      <c r="FF41" s="22"/>
      <c r="FG41" s="22"/>
      <c r="FH41" s="22"/>
      <c r="FI41" s="22"/>
      <c r="FJ41" s="22"/>
      <c r="FK41" s="22"/>
      <c r="FL41" s="22"/>
      <c r="FM41" s="22"/>
      <c r="FN41" s="22"/>
      <c r="FO41" s="22"/>
      <c r="FP41" s="22"/>
      <c r="FQ41" s="22"/>
      <c r="FR41" s="22"/>
      <c r="FS41" s="22"/>
      <c r="FT41" s="22"/>
      <c r="FU41" s="22"/>
      <c r="FV41" s="22"/>
      <c r="FW41" s="22"/>
      <c r="FX41" s="22"/>
      <c r="FY41" s="22"/>
      <c r="FZ41" s="22"/>
      <c r="GA41" s="22"/>
      <c r="GB41" s="22"/>
      <c r="GC41" s="22"/>
      <c r="GD41" s="22"/>
      <c r="GE41" s="22"/>
      <c r="GF41" s="22"/>
      <c r="GG41" s="22"/>
      <c r="GH41" s="22"/>
      <c r="GI41" s="22"/>
      <c r="GJ41" s="22"/>
      <c r="GK41" s="22"/>
      <c r="GL41" s="22"/>
      <c r="GM41" s="22"/>
      <c r="GN41" s="22"/>
      <c r="GO41" s="22"/>
      <c r="GP41" s="22"/>
      <c r="GQ41" s="22"/>
      <c r="GR41" s="22"/>
      <c r="GS41" s="22"/>
      <c r="GT41" s="22"/>
      <c r="GU41" s="22"/>
      <c r="GV41" s="22"/>
      <c r="GW41" s="22"/>
      <c r="GX41" s="22"/>
      <c r="GY41" s="22"/>
      <c r="GZ41" s="22"/>
      <c r="HA41" s="22"/>
      <c r="HB41" s="22"/>
      <c r="HC41" s="22"/>
      <c r="HD41" s="22"/>
      <c r="HE41" s="22"/>
      <c r="HF41" s="22"/>
      <c r="HG41" s="22"/>
      <c r="HH41" s="22"/>
      <c r="HI41" s="22"/>
      <c r="HJ41" s="22"/>
      <c r="HK41" s="22"/>
      <c r="HL41" s="22"/>
      <c r="HM41" s="22"/>
      <c r="HN41" s="22"/>
      <c r="HO41" s="22"/>
      <c r="HP41" s="22"/>
      <c r="HQ41" s="22"/>
      <c r="HR41" s="22"/>
      <c r="HS41" s="22"/>
      <c r="HT41" s="22"/>
      <c r="HU41" s="22"/>
      <c r="HV41" s="22"/>
      <c r="HW41" s="22"/>
      <c r="HX41" s="22"/>
      <c r="HY41" s="22"/>
      <c r="HZ41" s="22"/>
      <c r="IA41" s="22"/>
      <c r="IB41" s="22"/>
      <c r="IC41" s="22"/>
      <c r="ID41" s="22"/>
      <c r="IE41" s="22"/>
      <c r="IF41" s="22"/>
      <c r="IG41" s="22"/>
      <c r="IH41" s="22"/>
      <c r="II41" s="22"/>
      <c r="IJ41" s="22"/>
      <c r="IK41" s="22"/>
      <c r="IL41" s="22"/>
      <c r="IM41" s="22"/>
      <c r="IN41" s="22"/>
      <c r="IO41" s="22"/>
      <c r="IP41" s="22"/>
      <c r="IQ41" s="22"/>
      <c r="IR41" s="22"/>
      <c r="IS41" s="22"/>
      <c r="IT41" s="22"/>
    </row>
    <row r="42" spans="1:254" s="39" customFormat="1" ht="30.75" hidden="1" customHeight="1" x14ac:dyDescent="0.3">
      <c r="A42" s="38" t="s">
        <v>346</v>
      </c>
      <c r="B42" s="29" t="s">
        <v>124</v>
      </c>
      <c r="C42" s="79" t="s">
        <v>211</v>
      </c>
      <c r="D42" s="29" t="s">
        <v>50</v>
      </c>
      <c r="E42" s="29" t="s">
        <v>51</v>
      </c>
      <c r="F42" s="31"/>
      <c r="G42" s="31"/>
    </row>
    <row r="43" spans="1:254" s="39" customFormat="1" ht="37.5" hidden="1" customHeight="1" x14ac:dyDescent="0.3">
      <c r="A43" s="38" t="s">
        <v>346</v>
      </c>
      <c r="B43" s="29" t="s">
        <v>124</v>
      </c>
      <c r="C43" s="79" t="s">
        <v>211</v>
      </c>
      <c r="D43" s="29" t="s">
        <v>50</v>
      </c>
      <c r="E43" s="29" t="s">
        <v>51</v>
      </c>
      <c r="F43" s="31">
        <f>'В-26,27'!G360+'В-26,27'!G993</f>
        <v>80.900000000000006</v>
      </c>
      <c r="G43" s="31">
        <f>'В-26,27'!H360+'В-26,27'!H993</f>
        <v>80.900000000000006</v>
      </c>
    </row>
    <row r="44" spans="1:254" ht="18.75" x14ac:dyDescent="0.3">
      <c r="A44" s="33" t="s">
        <v>148</v>
      </c>
      <c r="B44" s="29" t="s">
        <v>124</v>
      </c>
      <c r="C44" s="79" t="s">
        <v>124</v>
      </c>
      <c r="D44" s="29" t="s">
        <v>50</v>
      </c>
      <c r="E44" s="29" t="s">
        <v>51</v>
      </c>
      <c r="F44" s="30">
        <f>'В-26,27'!G1020+'В-26,27'!G202</f>
        <v>5556.67</v>
      </c>
      <c r="G44" s="30">
        <f>'В-26,27'!H1020+'В-26,27'!H202</f>
        <v>5556.67</v>
      </c>
      <c r="H44" s="30">
        <f>'В-26,27'!I1020+'В-26,27'!I202</f>
        <v>0</v>
      </c>
      <c r="I44" s="30">
        <f>'В-26,27'!J1020+'В-26,27'!J202</f>
        <v>0</v>
      </c>
      <c r="J44" s="30">
        <f>'В-26,27'!K1020+'В-26,27'!K202</f>
        <v>0</v>
      </c>
      <c r="K44" s="30">
        <f>'В-26,27'!L1020+'В-26,27'!L202</f>
        <v>0</v>
      </c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  <c r="DP44" s="22"/>
      <c r="DQ44" s="22"/>
      <c r="DR44" s="22"/>
      <c r="DS44" s="22"/>
      <c r="DT44" s="22"/>
      <c r="DU44" s="22"/>
      <c r="DV44" s="22"/>
      <c r="DW44" s="22"/>
      <c r="DX44" s="22"/>
      <c r="DY44" s="22"/>
      <c r="DZ44" s="22"/>
      <c r="EA44" s="22"/>
      <c r="EB44" s="22"/>
      <c r="EC44" s="22"/>
      <c r="ED44" s="22"/>
      <c r="EE44" s="22"/>
      <c r="EF44" s="22"/>
      <c r="EG44" s="22"/>
      <c r="EH44" s="22"/>
      <c r="EI44" s="22"/>
      <c r="EJ44" s="22"/>
      <c r="EK44" s="22"/>
      <c r="EL44" s="22"/>
      <c r="EM44" s="22"/>
      <c r="EN44" s="22"/>
      <c r="EO44" s="22"/>
      <c r="EP44" s="22"/>
      <c r="EQ44" s="22"/>
      <c r="ER44" s="22"/>
      <c r="ES44" s="22"/>
      <c r="ET44" s="22"/>
      <c r="EU44" s="22"/>
      <c r="EV44" s="22"/>
      <c r="EW44" s="22"/>
      <c r="EX44" s="22"/>
      <c r="EY44" s="22"/>
      <c r="EZ44" s="22"/>
      <c r="FA44" s="22"/>
      <c r="FB44" s="22"/>
      <c r="FC44" s="22"/>
      <c r="FD44" s="22"/>
      <c r="FE44" s="22"/>
      <c r="FF44" s="22"/>
      <c r="FG44" s="22"/>
      <c r="FH44" s="22"/>
      <c r="FI44" s="22"/>
      <c r="FJ44" s="22"/>
      <c r="FK44" s="22"/>
      <c r="FL44" s="22"/>
      <c r="FM44" s="22"/>
      <c r="FN44" s="22"/>
      <c r="FO44" s="22"/>
      <c r="FP44" s="22"/>
      <c r="FQ44" s="22"/>
      <c r="FR44" s="22"/>
      <c r="FS44" s="22"/>
      <c r="FT44" s="22"/>
      <c r="FU44" s="22"/>
      <c r="FV44" s="22"/>
      <c r="FW44" s="22"/>
      <c r="FX44" s="22"/>
      <c r="FY44" s="22"/>
      <c r="FZ44" s="22"/>
      <c r="GA44" s="22"/>
      <c r="GB44" s="22"/>
      <c r="GC44" s="22"/>
      <c r="GD44" s="22"/>
      <c r="GE44" s="22"/>
      <c r="GF44" s="22"/>
      <c r="GG44" s="22"/>
      <c r="GH44" s="22"/>
      <c r="GI44" s="22"/>
      <c r="GJ44" s="22"/>
      <c r="GK44" s="22"/>
      <c r="GL44" s="22"/>
      <c r="GM44" s="22"/>
      <c r="GN44" s="22"/>
      <c r="GO44" s="22"/>
      <c r="GP44" s="22"/>
      <c r="GQ44" s="22"/>
      <c r="GR44" s="22"/>
      <c r="GS44" s="22"/>
      <c r="GT44" s="22"/>
      <c r="GU44" s="22"/>
      <c r="GV44" s="22"/>
      <c r="GW44" s="22"/>
      <c r="GX44" s="22"/>
      <c r="GY44" s="22"/>
      <c r="GZ44" s="22"/>
      <c r="HA44" s="22"/>
      <c r="HB44" s="22"/>
      <c r="HC44" s="22"/>
      <c r="HD44" s="22"/>
      <c r="HE44" s="22"/>
      <c r="HF44" s="22"/>
      <c r="HG44" s="22"/>
      <c r="HH44" s="22"/>
      <c r="HI44" s="22"/>
      <c r="HJ44" s="22"/>
      <c r="HK44" s="22"/>
      <c r="HL44" s="22"/>
      <c r="HM44" s="22"/>
      <c r="HN44" s="22"/>
      <c r="HO44" s="22"/>
      <c r="HP44" s="22"/>
      <c r="HQ44" s="22"/>
      <c r="HR44" s="22"/>
      <c r="HS44" s="22"/>
      <c r="HT44" s="22"/>
      <c r="HU44" s="22"/>
      <c r="HV44" s="22"/>
      <c r="HW44" s="22"/>
      <c r="HX44" s="22"/>
      <c r="HY44" s="22"/>
      <c r="HZ44" s="22"/>
      <c r="IA44" s="22"/>
      <c r="IB44" s="22"/>
      <c r="IC44" s="22"/>
      <c r="ID44" s="22"/>
      <c r="IE44" s="22"/>
      <c r="IF44" s="22"/>
      <c r="IG44" s="22"/>
      <c r="IH44" s="22"/>
      <c r="II44" s="22"/>
      <c r="IJ44" s="22"/>
      <c r="IK44" s="22"/>
      <c r="IL44" s="22"/>
      <c r="IM44" s="22"/>
      <c r="IN44" s="22"/>
      <c r="IO44" s="22"/>
      <c r="IP44" s="22"/>
      <c r="IQ44" s="22"/>
      <c r="IR44" s="22"/>
      <c r="IS44" s="22"/>
      <c r="IT44" s="22"/>
    </row>
    <row r="45" spans="1:254" ht="18.75" x14ac:dyDescent="0.3">
      <c r="A45" s="33" t="s">
        <v>128</v>
      </c>
      <c r="B45" s="29" t="s">
        <v>124</v>
      </c>
      <c r="C45" s="79" t="s">
        <v>129</v>
      </c>
      <c r="D45" s="29" t="s">
        <v>50</v>
      </c>
      <c r="E45" s="29" t="s">
        <v>51</v>
      </c>
      <c r="F45" s="30">
        <f>'В-26,27'!G249</f>
        <v>17438.199999999997</v>
      </c>
      <c r="G45" s="30">
        <f>'В-26,27'!H249</f>
        <v>17438.199999999997</v>
      </c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  <c r="DR45" s="22"/>
      <c r="DS45" s="22"/>
      <c r="DT45" s="22"/>
      <c r="DU45" s="22"/>
      <c r="DV45" s="22"/>
      <c r="DW45" s="22"/>
      <c r="DX45" s="22"/>
      <c r="DY45" s="22"/>
      <c r="DZ45" s="22"/>
      <c r="EA45" s="22"/>
      <c r="EB45" s="22"/>
      <c r="EC45" s="22"/>
      <c r="ED45" s="22"/>
      <c r="EE45" s="22"/>
      <c r="EF45" s="22"/>
      <c r="EG45" s="22"/>
      <c r="EH45" s="22"/>
      <c r="EI45" s="22"/>
      <c r="EJ45" s="22"/>
      <c r="EK45" s="22"/>
      <c r="EL45" s="22"/>
      <c r="EM45" s="22"/>
      <c r="EN45" s="22"/>
      <c r="EO45" s="22"/>
      <c r="EP45" s="22"/>
      <c r="EQ45" s="22"/>
      <c r="ER45" s="22"/>
      <c r="ES45" s="22"/>
      <c r="ET45" s="22"/>
      <c r="EU45" s="22"/>
      <c r="EV45" s="22"/>
      <c r="EW45" s="22"/>
      <c r="EX45" s="22"/>
      <c r="EY45" s="22"/>
      <c r="EZ45" s="22"/>
      <c r="FA45" s="22"/>
      <c r="FB45" s="22"/>
      <c r="FC45" s="22"/>
      <c r="FD45" s="22"/>
      <c r="FE45" s="22"/>
      <c r="FF45" s="22"/>
      <c r="FG45" s="22"/>
      <c r="FH45" s="22"/>
      <c r="FI45" s="22"/>
      <c r="FJ45" s="22"/>
      <c r="FK45" s="22"/>
      <c r="FL45" s="22"/>
      <c r="FM45" s="22"/>
      <c r="FN45" s="22"/>
      <c r="FO45" s="22"/>
      <c r="FP45" s="22"/>
      <c r="FQ45" s="22"/>
      <c r="FR45" s="22"/>
      <c r="FS45" s="22"/>
      <c r="FT45" s="22"/>
      <c r="FU45" s="22"/>
      <c r="FV45" s="22"/>
      <c r="FW45" s="22"/>
      <c r="FX45" s="22"/>
      <c r="FY45" s="22"/>
      <c r="FZ45" s="22"/>
      <c r="GA45" s="22"/>
      <c r="GB45" s="22"/>
      <c r="GC45" s="22"/>
      <c r="GD45" s="22"/>
      <c r="GE45" s="22"/>
      <c r="GF45" s="22"/>
      <c r="GG45" s="22"/>
      <c r="GH45" s="22"/>
      <c r="GI45" s="22"/>
      <c r="GJ45" s="22"/>
      <c r="GK45" s="22"/>
      <c r="GL45" s="22"/>
      <c r="GM45" s="22"/>
      <c r="GN45" s="22"/>
      <c r="GO45" s="22"/>
      <c r="GP45" s="22"/>
      <c r="GQ45" s="22"/>
      <c r="GR45" s="22"/>
      <c r="GS45" s="22"/>
      <c r="GT45" s="22"/>
      <c r="GU45" s="22"/>
      <c r="GV45" s="22"/>
      <c r="GW45" s="22"/>
      <c r="GX45" s="22"/>
      <c r="GY45" s="22"/>
      <c r="GZ45" s="22"/>
      <c r="HA45" s="22"/>
      <c r="HB45" s="22"/>
      <c r="HC45" s="22"/>
      <c r="HD45" s="22"/>
      <c r="HE45" s="22"/>
      <c r="HF45" s="22"/>
      <c r="HG45" s="22"/>
      <c r="HH45" s="22"/>
      <c r="HI45" s="22"/>
      <c r="HJ45" s="22"/>
      <c r="HK45" s="22"/>
      <c r="HL45" s="22"/>
      <c r="HM45" s="22"/>
      <c r="HN45" s="22"/>
      <c r="HO45" s="22"/>
      <c r="HP45" s="22"/>
      <c r="HQ45" s="22"/>
      <c r="HR45" s="22"/>
      <c r="HS45" s="22"/>
      <c r="HT45" s="22"/>
      <c r="HU45" s="22"/>
      <c r="HV45" s="22"/>
      <c r="HW45" s="22"/>
      <c r="HX45" s="22"/>
      <c r="HY45" s="22"/>
      <c r="HZ45" s="22"/>
      <c r="IA45" s="22"/>
      <c r="IB45" s="22"/>
      <c r="IC45" s="22"/>
      <c r="ID45" s="22"/>
      <c r="IE45" s="22"/>
      <c r="IF45" s="22"/>
      <c r="IG45" s="22"/>
      <c r="IH45" s="22"/>
      <c r="II45" s="22"/>
      <c r="IJ45" s="22"/>
      <c r="IK45" s="22"/>
      <c r="IL45" s="22"/>
      <c r="IM45" s="22"/>
      <c r="IN45" s="22"/>
      <c r="IO45" s="22"/>
      <c r="IP45" s="22"/>
      <c r="IQ45" s="22"/>
      <c r="IR45" s="22"/>
      <c r="IS45" s="22"/>
      <c r="IT45" s="22"/>
    </row>
    <row r="46" spans="1:254" ht="18.75" x14ac:dyDescent="0.3">
      <c r="A46" s="33" t="s">
        <v>130</v>
      </c>
      <c r="B46" s="79" t="s">
        <v>131</v>
      </c>
      <c r="C46" s="79" t="s">
        <v>113</v>
      </c>
      <c r="D46" s="29" t="s">
        <v>50</v>
      </c>
      <c r="E46" s="29" t="s">
        <v>51</v>
      </c>
      <c r="F46" s="30">
        <f>F47+F48</f>
        <v>79503.399999999994</v>
      </c>
      <c r="G46" s="30">
        <f>G47+G48</f>
        <v>79506.7</v>
      </c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  <c r="DR46" s="22"/>
      <c r="DS46" s="22"/>
      <c r="DT46" s="22"/>
      <c r="DU46" s="22"/>
      <c r="DV46" s="22"/>
      <c r="DW46" s="22"/>
      <c r="DX46" s="22"/>
      <c r="DY46" s="22"/>
      <c r="DZ46" s="22"/>
      <c r="EA46" s="22"/>
      <c r="EB46" s="22"/>
      <c r="EC46" s="22"/>
      <c r="ED46" s="22"/>
      <c r="EE46" s="22"/>
      <c r="EF46" s="22"/>
      <c r="EG46" s="22"/>
      <c r="EH46" s="22"/>
      <c r="EI46" s="22"/>
      <c r="EJ46" s="22"/>
      <c r="EK46" s="22"/>
      <c r="EL46" s="22"/>
      <c r="EM46" s="22"/>
      <c r="EN46" s="22"/>
      <c r="EO46" s="22"/>
      <c r="EP46" s="22"/>
      <c r="EQ46" s="22"/>
      <c r="ER46" s="22"/>
      <c r="ES46" s="22"/>
      <c r="ET46" s="22"/>
      <c r="EU46" s="22"/>
      <c r="EV46" s="22"/>
      <c r="EW46" s="22"/>
      <c r="EX46" s="22"/>
      <c r="EY46" s="22"/>
      <c r="EZ46" s="22"/>
      <c r="FA46" s="22"/>
      <c r="FB46" s="22"/>
      <c r="FC46" s="22"/>
      <c r="FD46" s="22"/>
      <c r="FE46" s="22"/>
      <c r="FF46" s="22"/>
      <c r="FG46" s="22"/>
      <c r="FH46" s="22"/>
      <c r="FI46" s="22"/>
      <c r="FJ46" s="22"/>
      <c r="FK46" s="22"/>
      <c r="FL46" s="22"/>
      <c r="FM46" s="22"/>
      <c r="FN46" s="22"/>
      <c r="FO46" s="22"/>
      <c r="FP46" s="22"/>
      <c r="FQ46" s="22"/>
      <c r="FR46" s="22"/>
      <c r="FS46" s="22"/>
      <c r="FT46" s="22"/>
      <c r="FU46" s="22"/>
      <c r="FV46" s="22"/>
      <c r="FW46" s="22"/>
      <c r="FX46" s="22"/>
      <c r="FY46" s="22"/>
      <c r="FZ46" s="22"/>
      <c r="GA46" s="22"/>
      <c r="GB46" s="22"/>
      <c r="GC46" s="22"/>
      <c r="GD46" s="22"/>
      <c r="GE46" s="22"/>
      <c r="GF46" s="22"/>
      <c r="GG46" s="22"/>
      <c r="GH46" s="22"/>
      <c r="GI46" s="22"/>
      <c r="GJ46" s="22"/>
      <c r="GK46" s="22"/>
      <c r="GL46" s="22"/>
      <c r="GM46" s="22"/>
      <c r="GN46" s="22"/>
      <c r="GO46" s="22"/>
      <c r="GP46" s="22"/>
      <c r="GQ46" s="22"/>
      <c r="GR46" s="22"/>
      <c r="GS46" s="22"/>
      <c r="GT46" s="22"/>
      <c r="GU46" s="22"/>
      <c r="GV46" s="22"/>
      <c r="GW46" s="22"/>
      <c r="GX46" s="22"/>
      <c r="GY46" s="22"/>
      <c r="GZ46" s="22"/>
      <c r="HA46" s="22"/>
      <c r="HB46" s="22"/>
      <c r="HC46" s="22"/>
      <c r="HD46" s="22"/>
      <c r="HE46" s="22"/>
      <c r="HF46" s="22"/>
      <c r="HG46" s="22"/>
      <c r="HH46" s="22"/>
      <c r="HI46" s="22"/>
      <c r="HJ46" s="22"/>
      <c r="HK46" s="22"/>
      <c r="HL46" s="22"/>
      <c r="HM46" s="22"/>
      <c r="HN46" s="22"/>
      <c r="HO46" s="22"/>
      <c r="HP46" s="22"/>
      <c r="HQ46" s="22"/>
      <c r="HR46" s="22"/>
      <c r="HS46" s="22"/>
      <c r="HT46" s="22"/>
      <c r="HU46" s="22"/>
      <c r="HV46" s="22"/>
      <c r="HW46" s="22"/>
      <c r="HX46" s="22"/>
      <c r="HY46" s="22"/>
      <c r="HZ46" s="22"/>
      <c r="IA46" s="22"/>
      <c r="IB46" s="22"/>
      <c r="IC46" s="22"/>
      <c r="ID46" s="22"/>
      <c r="IE46" s="22"/>
      <c r="IF46" s="22"/>
      <c r="IG46" s="22"/>
      <c r="IH46" s="22"/>
      <c r="II46" s="22"/>
      <c r="IJ46" s="22"/>
      <c r="IK46" s="22"/>
      <c r="IL46" s="22"/>
      <c r="IM46" s="22"/>
      <c r="IN46" s="22"/>
      <c r="IO46" s="22"/>
      <c r="IP46" s="22"/>
      <c r="IQ46" s="22"/>
      <c r="IR46" s="22"/>
      <c r="IS46" s="22"/>
      <c r="IT46" s="22"/>
    </row>
    <row r="47" spans="1:254" ht="18.75" x14ac:dyDescent="0.3">
      <c r="A47" s="33" t="s">
        <v>196</v>
      </c>
      <c r="B47" s="79" t="s">
        <v>131</v>
      </c>
      <c r="C47" s="79" t="s">
        <v>116</v>
      </c>
      <c r="D47" s="29" t="s">
        <v>50</v>
      </c>
      <c r="E47" s="29" t="s">
        <v>51</v>
      </c>
      <c r="F47" s="30">
        <f>'В-26,27'!G388+'В-26,27'!G1050</f>
        <v>65367.899999999994</v>
      </c>
      <c r="G47" s="30">
        <f>'В-26,27'!H388+'В-26,27'!H1050</f>
        <v>65371.199999999997</v>
      </c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  <c r="DP47" s="22"/>
      <c r="DQ47" s="22"/>
      <c r="DR47" s="22"/>
      <c r="DS47" s="22"/>
      <c r="DT47" s="22"/>
      <c r="DU47" s="22"/>
      <c r="DV47" s="22"/>
      <c r="DW47" s="22"/>
      <c r="DX47" s="22"/>
      <c r="DY47" s="22"/>
      <c r="DZ47" s="22"/>
      <c r="EA47" s="22"/>
      <c r="EB47" s="22"/>
      <c r="EC47" s="22"/>
      <c r="ED47" s="22"/>
      <c r="EE47" s="22"/>
      <c r="EF47" s="22"/>
      <c r="EG47" s="22"/>
      <c r="EH47" s="22"/>
      <c r="EI47" s="22"/>
      <c r="EJ47" s="22"/>
      <c r="EK47" s="22"/>
      <c r="EL47" s="22"/>
      <c r="EM47" s="22"/>
      <c r="EN47" s="22"/>
      <c r="EO47" s="22"/>
      <c r="EP47" s="22"/>
      <c r="EQ47" s="22"/>
      <c r="ER47" s="22"/>
      <c r="ES47" s="22"/>
      <c r="ET47" s="22"/>
      <c r="EU47" s="22"/>
      <c r="EV47" s="22"/>
      <c r="EW47" s="22"/>
      <c r="EX47" s="22"/>
      <c r="EY47" s="22"/>
      <c r="EZ47" s="22"/>
      <c r="FA47" s="22"/>
      <c r="FB47" s="22"/>
      <c r="FC47" s="22"/>
      <c r="FD47" s="22"/>
      <c r="FE47" s="22"/>
      <c r="FF47" s="22"/>
      <c r="FG47" s="22"/>
      <c r="FH47" s="22"/>
      <c r="FI47" s="22"/>
      <c r="FJ47" s="22"/>
      <c r="FK47" s="22"/>
      <c r="FL47" s="22"/>
      <c r="FM47" s="22"/>
      <c r="FN47" s="22"/>
      <c r="FO47" s="22"/>
      <c r="FP47" s="22"/>
      <c r="FQ47" s="22"/>
      <c r="FR47" s="22"/>
      <c r="FS47" s="22"/>
      <c r="FT47" s="22"/>
      <c r="FU47" s="22"/>
      <c r="FV47" s="22"/>
      <c r="FW47" s="22"/>
      <c r="FX47" s="22"/>
      <c r="FY47" s="22"/>
      <c r="FZ47" s="22"/>
      <c r="GA47" s="22"/>
      <c r="GB47" s="22"/>
      <c r="GC47" s="22"/>
      <c r="GD47" s="22"/>
      <c r="GE47" s="22"/>
      <c r="GF47" s="22"/>
      <c r="GG47" s="22"/>
      <c r="GH47" s="22"/>
      <c r="GI47" s="22"/>
      <c r="GJ47" s="22"/>
      <c r="GK47" s="22"/>
      <c r="GL47" s="22"/>
      <c r="GM47" s="22"/>
      <c r="GN47" s="22"/>
      <c r="GO47" s="22"/>
      <c r="GP47" s="22"/>
      <c r="GQ47" s="22"/>
      <c r="GR47" s="22"/>
      <c r="GS47" s="22"/>
      <c r="GT47" s="22"/>
      <c r="GU47" s="22"/>
      <c r="GV47" s="22"/>
      <c r="GW47" s="22"/>
      <c r="GX47" s="22"/>
      <c r="GY47" s="22"/>
      <c r="GZ47" s="22"/>
      <c r="HA47" s="22"/>
      <c r="HB47" s="22"/>
      <c r="HC47" s="22"/>
      <c r="HD47" s="22"/>
      <c r="HE47" s="22"/>
      <c r="HF47" s="22"/>
      <c r="HG47" s="22"/>
      <c r="HH47" s="22"/>
      <c r="HI47" s="22"/>
      <c r="HJ47" s="22"/>
      <c r="HK47" s="22"/>
      <c r="HL47" s="22"/>
      <c r="HM47" s="22"/>
      <c r="HN47" s="22"/>
      <c r="HO47" s="22"/>
      <c r="HP47" s="22"/>
      <c r="HQ47" s="22"/>
      <c r="HR47" s="22"/>
      <c r="HS47" s="22"/>
      <c r="HT47" s="22"/>
      <c r="HU47" s="22"/>
      <c r="HV47" s="22"/>
      <c r="HW47" s="22"/>
      <c r="HX47" s="22"/>
      <c r="HY47" s="22"/>
      <c r="HZ47" s="22"/>
      <c r="IA47" s="22"/>
      <c r="IB47" s="22"/>
      <c r="IC47" s="22"/>
      <c r="ID47" s="22"/>
      <c r="IE47" s="22"/>
      <c r="IF47" s="22"/>
      <c r="IG47" s="22"/>
      <c r="IH47" s="22"/>
      <c r="II47" s="22"/>
      <c r="IJ47" s="22"/>
      <c r="IK47" s="22"/>
      <c r="IL47" s="22"/>
      <c r="IM47" s="22"/>
      <c r="IN47" s="22"/>
      <c r="IO47" s="22"/>
      <c r="IP47" s="22"/>
      <c r="IQ47" s="22"/>
      <c r="IR47" s="22"/>
      <c r="IS47" s="22"/>
      <c r="IT47" s="22"/>
    </row>
    <row r="48" spans="1:254" ht="37.5" x14ac:dyDescent="0.3">
      <c r="A48" s="37" t="s">
        <v>132</v>
      </c>
      <c r="B48" s="79" t="s">
        <v>131</v>
      </c>
      <c r="C48" s="79" t="s">
        <v>122</v>
      </c>
      <c r="D48" s="29" t="s">
        <v>50</v>
      </c>
      <c r="E48" s="29" t="s">
        <v>51</v>
      </c>
      <c r="F48" s="30">
        <f>'В-26,27'!G278</f>
        <v>14135.5</v>
      </c>
      <c r="G48" s="30">
        <f>'В-26,27'!H278</f>
        <v>14135.5</v>
      </c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  <c r="EM48" s="22"/>
      <c r="EN48" s="22"/>
      <c r="EO48" s="22"/>
      <c r="EP48" s="22"/>
      <c r="EQ48" s="22"/>
      <c r="ER48" s="22"/>
      <c r="ES48" s="22"/>
      <c r="ET48" s="22"/>
      <c r="EU48" s="22"/>
      <c r="EV48" s="22"/>
      <c r="EW48" s="22"/>
      <c r="EX48" s="22"/>
      <c r="EY48" s="22"/>
      <c r="EZ48" s="22"/>
      <c r="FA48" s="22"/>
      <c r="FB48" s="22"/>
      <c r="FC48" s="22"/>
      <c r="FD48" s="22"/>
      <c r="FE48" s="22"/>
      <c r="FF48" s="22"/>
      <c r="FG48" s="22"/>
      <c r="FH48" s="22"/>
      <c r="FI48" s="22"/>
      <c r="FJ48" s="22"/>
      <c r="FK48" s="22"/>
      <c r="FL48" s="22"/>
      <c r="FM48" s="22"/>
      <c r="FN48" s="22"/>
      <c r="FO48" s="22"/>
      <c r="FP48" s="22"/>
      <c r="FQ48" s="22"/>
      <c r="FR48" s="22"/>
      <c r="FS48" s="22"/>
      <c r="FT48" s="22"/>
      <c r="FU48" s="22"/>
      <c r="FV48" s="22"/>
      <c r="FW48" s="22"/>
      <c r="FX48" s="22"/>
      <c r="FY48" s="22"/>
      <c r="FZ48" s="22"/>
      <c r="GA48" s="22"/>
      <c r="GB48" s="22"/>
      <c r="GC48" s="22"/>
      <c r="GD48" s="22"/>
      <c r="GE48" s="22"/>
      <c r="GF48" s="22"/>
      <c r="GG48" s="22"/>
      <c r="GH48" s="22"/>
      <c r="GI48" s="22"/>
      <c r="GJ48" s="22"/>
      <c r="GK48" s="22"/>
      <c r="GL48" s="22"/>
      <c r="GM48" s="22"/>
      <c r="GN48" s="22"/>
      <c r="GO48" s="22"/>
      <c r="GP48" s="22"/>
      <c r="GQ48" s="22"/>
      <c r="GR48" s="22"/>
      <c r="GS48" s="22"/>
      <c r="GT48" s="22"/>
      <c r="GU48" s="22"/>
      <c r="GV48" s="22"/>
      <c r="GW48" s="22"/>
      <c r="GX48" s="22"/>
      <c r="GY48" s="22"/>
      <c r="GZ48" s="22"/>
      <c r="HA48" s="22"/>
      <c r="HB48" s="22"/>
      <c r="HC48" s="22"/>
      <c r="HD48" s="22"/>
      <c r="HE48" s="22"/>
      <c r="HF48" s="22"/>
      <c r="HG48" s="22"/>
      <c r="HH48" s="22"/>
      <c r="HI48" s="22"/>
      <c r="HJ48" s="22"/>
      <c r="HK48" s="22"/>
      <c r="HL48" s="22"/>
      <c r="HM48" s="22"/>
      <c r="HN48" s="22"/>
      <c r="HO48" s="22"/>
      <c r="HP48" s="22"/>
      <c r="HQ48" s="22"/>
      <c r="HR48" s="22"/>
      <c r="HS48" s="22"/>
      <c r="HT48" s="22"/>
      <c r="HU48" s="22"/>
      <c r="HV48" s="22"/>
      <c r="HW48" s="22"/>
      <c r="HX48" s="22"/>
      <c r="HY48" s="22"/>
      <c r="HZ48" s="22"/>
      <c r="IA48" s="22"/>
      <c r="IB48" s="22"/>
      <c r="IC48" s="22"/>
      <c r="ID48" s="22"/>
      <c r="IE48" s="22"/>
      <c r="IF48" s="22"/>
      <c r="IG48" s="22"/>
      <c r="IH48" s="22"/>
      <c r="II48" s="22"/>
      <c r="IJ48" s="22"/>
      <c r="IK48" s="22"/>
      <c r="IL48" s="22"/>
      <c r="IM48" s="22"/>
      <c r="IN48" s="22"/>
      <c r="IO48" s="22"/>
      <c r="IP48" s="22"/>
      <c r="IQ48" s="22"/>
      <c r="IR48" s="22"/>
      <c r="IS48" s="22"/>
      <c r="IT48" s="22"/>
    </row>
    <row r="49" spans="1:254" s="39" customFormat="1" ht="18.75" hidden="1" x14ac:dyDescent="0.3">
      <c r="A49" s="38" t="s">
        <v>347</v>
      </c>
      <c r="B49" s="29" t="s">
        <v>129</v>
      </c>
      <c r="C49" s="79" t="s">
        <v>113</v>
      </c>
      <c r="D49" s="29" t="s">
        <v>50</v>
      </c>
      <c r="E49" s="29" t="s">
        <v>51</v>
      </c>
      <c r="F49" s="31"/>
      <c r="G49" s="31"/>
    </row>
    <row r="50" spans="1:254" s="39" customFormat="1" ht="18.75" hidden="1" x14ac:dyDescent="0.3">
      <c r="A50" s="38" t="s">
        <v>348</v>
      </c>
      <c r="B50" s="29" t="s">
        <v>129</v>
      </c>
      <c r="C50" s="79" t="s">
        <v>129</v>
      </c>
      <c r="D50" s="29" t="s">
        <v>50</v>
      </c>
      <c r="E50" s="29" t="s">
        <v>51</v>
      </c>
      <c r="F50" s="31"/>
      <c r="G50" s="31"/>
    </row>
    <row r="51" spans="1:254" s="39" customFormat="1" ht="18.75" hidden="1" x14ac:dyDescent="0.3">
      <c r="A51" s="12" t="s">
        <v>347</v>
      </c>
      <c r="B51" s="29" t="s">
        <v>129</v>
      </c>
      <c r="C51" s="79" t="s">
        <v>113</v>
      </c>
      <c r="D51" s="29" t="s">
        <v>50</v>
      </c>
      <c r="E51" s="29" t="s">
        <v>51</v>
      </c>
      <c r="F51" s="31">
        <f>F53</f>
        <v>0</v>
      </c>
      <c r="G51" s="31">
        <f>G53</f>
        <v>0</v>
      </c>
    </row>
    <row r="52" spans="1:254" s="39" customFormat="1" ht="27" hidden="1" customHeight="1" x14ac:dyDescent="0.3">
      <c r="A52" s="12" t="s">
        <v>495</v>
      </c>
      <c r="B52" s="29" t="s">
        <v>129</v>
      </c>
      <c r="C52" s="61" t="s">
        <v>124</v>
      </c>
      <c r="D52" s="29" t="s">
        <v>50</v>
      </c>
      <c r="E52" s="29" t="s">
        <v>51</v>
      </c>
      <c r="F52" s="31">
        <v>0</v>
      </c>
      <c r="G52" s="31">
        <v>0</v>
      </c>
    </row>
    <row r="53" spans="1:254" s="39" customFormat="1" ht="27" hidden="1" customHeight="1" x14ac:dyDescent="0.3">
      <c r="A53" s="12" t="s">
        <v>348</v>
      </c>
      <c r="B53" s="29" t="s">
        <v>129</v>
      </c>
      <c r="C53" s="61" t="s">
        <v>129</v>
      </c>
      <c r="D53" s="29" t="s">
        <v>50</v>
      </c>
      <c r="E53" s="29" t="s">
        <v>51</v>
      </c>
      <c r="F53" s="31">
        <v>0</v>
      </c>
      <c r="G53" s="31">
        <v>0</v>
      </c>
    </row>
    <row r="54" spans="1:254" ht="18.75" x14ac:dyDescent="0.3">
      <c r="A54" s="33" t="s">
        <v>167</v>
      </c>
      <c r="B54" s="79">
        <v>10</v>
      </c>
      <c r="C54" s="79" t="s">
        <v>113</v>
      </c>
      <c r="D54" s="29" t="s">
        <v>50</v>
      </c>
      <c r="E54" s="29" t="s">
        <v>51</v>
      </c>
      <c r="F54" s="30">
        <f>SUM(F55:F58)</f>
        <v>35194.21</v>
      </c>
      <c r="G54" s="30">
        <f>SUM(G55:G58)</f>
        <v>33747.61</v>
      </c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  <c r="DP54" s="22"/>
      <c r="DQ54" s="22"/>
      <c r="DR54" s="22"/>
      <c r="DS54" s="22"/>
      <c r="DT54" s="22"/>
      <c r="DU54" s="22"/>
      <c r="DV54" s="22"/>
      <c r="DW54" s="22"/>
      <c r="DX54" s="22"/>
      <c r="DY54" s="22"/>
      <c r="DZ54" s="22"/>
      <c r="EA54" s="22"/>
      <c r="EB54" s="22"/>
      <c r="EC54" s="22"/>
      <c r="ED54" s="22"/>
      <c r="EE54" s="22"/>
      <c r="EF54" s="22"/>
      <c r="EG54" s="22"/>
      <c r="EH54" s="22"/>
      <c r="EI54" s="22"/>
      <c r="EJ54" s="22"/>
      <c r="EK54" s="22"/>
      <c r="EL54" s="22"/>
      <c r="EM54" s="22"/>
      <c r="EN54" s="22"/>
      <c r="EO54" s="22"/>
      <c r="EP54" s="22"/>
      <c r="EQ54" s="22"/>
      <c r="ER54" s="22"/>
      <c r="ES54" s="22"/>
      <c r="ET54" s="22"/>
      <c r="EU54" s="22"/>
      <c r="EV54" s="22"/>
      <c r="EW54" s="22"/>
      <c r="EX54" s="22"/>
      <c r="EY54" s="22"/>
      <c r="EZ54" s="22"/>
      <c r="FA54" s="22"/>
      <c r="FB54" s="22"/>
      <c r="FC54" s="22"/>
      <c r="FD54" s="22"/>
      <c r="FE54" s="22"/>
      <c r="FF54" s="22"/>
      <c r="FG54" s="22"/>
      <c r="FH54" s="22"/>
      <c r="FI54" s="22"/>
      <c r="FJ54" s="22"/>
      <c r="FK54" s="22"/>
      <c r="FL54" s="22"/>
      <c r="FM54" s="22"/>
      <c r="FN54" s="22"/>
      <c r="FO54" s="22"/>
      <c r="FP54" s="22"/>
      <c r="FQ54" s="22"/>
      <c r="FR54" s="22"/>
      <c r="FS54" s="22"/>
      <c r="FT54" s="22"/>
      <c r="FU54" s="22"/>
      <c r="FV54" s="22"/>
      <c r="FW54" s="22"/>
      <c r="FX54" s="22"/>
      <c r="FY54" s="22"/>
      <c r="FZ54" s="22"/>
      <c r="GA54" s="22"/>
      <c r="GB54" s="22"/>
      <c r="GC54" s="22"/>
      <c r="GD54" s="22"/>
      <c r="GE54" s="22"/>
      <c r="GF54" s="22"/>
      <c r="GG54" s="22"/>
      <c r="GH54" s="22"/>
      <c r="GI54" s="22"/>
      <c r="GJ54" s="22"/>
      <c r="GK54" s="22"/>
      <c r="GL54" s="22"/>
      <c r="GM54" s="22"/>
      <c r="GN54" s="22"/>
      <c r="GO54" s="22"/>
      <c r="GP54" s="22"/>
      <c r="GQ54" s="22"/>
      <c r="GR54" s="22"/>
      <c r="GS54" s="22"/>
      <c r="GT54" s="22"/>
      <c r="GU54" s="22"/>
      <c r="GV54" s="22"/>
      <c r="GW54" s="22"/>
      <c r="GX54" s="22"/>
      <c r="GY54" s="22"/>
      <c r="GZ54" s="22"/>
      <c r="HA54" s="22"/>
      <c r="HB54" s="22"/>
      <c r="HC54" s="22"/>
      <c r="HD54" s="22"/>
      <c r="HE54" s="22"/>
      <c r="HF54" s="22"/>
      <c r="HG54" s="22"/>
      <c r="HH54" s="22"/>
      <c r="HI54" s="22"/>
      <c r="HJ54" s="22"/>
      <c r="HK54" s="22"/>
      <c r="HL54" s="22"/>
      <c r="HM54" s="22"/>
      <c r="HN54" s="22"/>
      <c r="HO54" s="22"/>
      <c r="HP54" s="22"/>
      <c r="HQ54" s="22"/>
      <c r="HR54" s="22"/>
      <c r="HS54" s="22"/>
      <c r="HT54" s="22"/>
      <c r="HU54" s="22"/>
      <c r="HV54" s="22"/>
      <c r="HW54" s="22"/>
      <c r="HX54" s="22"/>
      <c r="HY54" s="22"/>
      <c r="HZ54" s="22"/>
      <c r="IA54" s="22"/>
      <c r="IB54" s="22"/>
      <c r="IC54" s="22"/>
      <c r="ID54" s="22"/>
      <c r="IE54" s="22"/>
      <c r="IF54" s="22"/>
      <c r="IG54" s="22"/>
      <c r="IH54" s="22"/>
      <c r="II54" s="22"/>
      <c r="IJ54" s="22"/>
      <c r="IK54" s="22"/>
      <c r="IL54" s="22"/>
      <c r="IM54" s="22"/>
      <c r="IN54" s="22"/>
      <c r="IO54" s="22"/>
      <c r="IP54" s="22"/>
      <c r="IQ54" s="22"/>
      <c r="IR54" s="22"/>
      <c r="IS54" s="22"/>
      <c r="IT54" s="22"/>
    </row>
    <row r="55" spans="1:254" ht="18.75" hidden="1" x14ac:dyDescent="0.3">
      <c r="A55" s="33" t="s">
        <v>318</v>
      </c>
      <c r="B55" s="79">
        <v>10</v>
      </c>
      <c r="C55" s="79" t="s">
        <v>116</v>
      </c>
      <c r="D55" s="29" t="s">
        <v>50</v>
      </c>
      <c r="E55" s="29" t="s">
        <v>51</v>
      </c>
      <c r="F55" s="30">
        <f>'В-26,27'!G1116</f>
        <v>0</v>
      </c>
      <c r="G55" s="30">
        <f>'В-26,27'!H1116</f>
        <v>0</v>
      </c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  <c r="DH55" s="22"/>
      <c r="DI55" s="22"/>
      <c r="DJ55" s="22"/>
      <c r="DK55" s="22"/>
      <c r="DL55" s="22"/>
      <c r="DM55" s="22"/>
      <c r="DN55" s="22"/>
      <c r="DO55" s="22"/>
      <c r="DP55" s="22"/>
      <c r="DQ55" s="22"/>
      <c r="DR55" s="22"/>
      <c r="DS55" s="22"/>
      <c r="DT55" s="22"/>
      <c r="DU55" s="22"/>
      <c r="DV55" s="22"/>
      <c r="DW55" s="22"/>
      <c r="DX55" s="22"/>
      <c r="DY55" s="22"/>
      <c r="DZ55" s="22"/>
      <c r="EA55" s="22"/>
      <c r="EB55" s="22"/>
      <c r="EC55" s="22"/>
      <c r="ED55" s="22"/>
      <c r="EE55" s="22"/>
      <c r="EF55" s="22"/>
      <c r="EG55" s="22"/>
      <c r="EH55" s="22"/>
      <c r="EI55" s="22"/>
      <c r="EJ55" s="22"/>
      <c r="EK55" s="22"/>
      <c r="EL55" s="22"/>
      <c r="EM55" s="22"/>
      <c r="EN55" s="22"/>
      <c r="EO55" s="22"/>
      <c r="EP55" s="22"/>
      <c r="EQ55" s="22"/>
      <c r="ER55" s="22"/>
      <c r="ES55" s="22"/>
      <c r="ET55" s="22"/>
      <c r="EU55" s="22"/>
      <c r="EV55" s="22"/>
      <c r="EW55" s="22"/>
      <c r="EX55" s="22"/>
      <c r="EY55" s="22"/>
      <c r="EZ55" s="22"/>
      <c r="FA55" s="22"/>
      <c r="FB55" s="22"/>
      <c r="FC55" s="22"/>
      <c r="FD55" s="22"/>
      <c r="FE55" s="22"/>
      <c r="FF55" s="22"/>
      <c r="FG55" s="22"/>
      <c r="FH55" s="22"/>
      <c r="FI55" s="22"/>
      <c r="FJ55" s="22"/>
      <c r="FK55" s="22"/>
      <c r="FL55" s="22"/>
      <c r="FM55" s="22"/>
      <c r="FN55" s="22"/>
      <c r="FO55" s="22"/>
      <c r="FP55" s="22"/>
      <c r="FQ55" s="22"/>
      <c r="FR55" s="22"/>
      <c r="FS55" s="22"/>
      <c r="FT55" s="22"/>
      <c r="FU55" s="22"/>
      <c r="FV55" s="22"/>
      <c r="FW55" s="22"/>
      <c r="FX55" s="22"/>
      <c r="FY55" s="22"/>
      <c r="FZ55" s="22"/>
      <c r="GA55" s="22"/>
      <c r="GB55" s="22"/>
      <c r="GC55" s="22"/>
      <c r="GD55" s="22"/>
      <c r="GE55" s="22"/>
      <c r="GF55" s="22"/>
      <c r="GG55" s="22"/>
      <c r="GH55" s="22"/>
      <c r="GI55" s="22"/>
      <c r="GJ55" s="22"/>
      <c r="GK55" s="22"/>
      <c r="GL55" s="22"/>
      <c r="GM55" s="22"/>
      <c r="GN55" s="22"/>
      <c r="GO55" s="22"/>
      <c r="GP55" s="22"/>
      <c r="GQ55" s="22"/>
      <c r="GR55" s="22"/>
      <c r="GS55" s="22"/>
      <c r="GT55" s="22"/>
      <c r="GU55" s="22"/>
      <c r="GV55" s="22"/>
      <c r="GW55" s="22"/>
      <c r="GX55" s="22"/>
      <c r="GY55" s="22"/>
      <c r="GZ55" s="22"/>
      <c r="HA55" s="22"/>
      <c r="HB55" s="22"/>
      <c r="HC55" s="22"/>
      <c r="HD55" s="22"/>
      <c r="HE55" s="22"/>
      <c r="HF55" s="22"/>
      <c r="HG55" s="22"/>
      <c r="HH55" s="22"/>
      <c r="HI55" s="22"/>
      <c r="HJ55" s="22"/>
      <c r="HK55" s="22"/>
      <c r="HL55" s="22"/>
      <c r="HM55" s="22"/>
      <c r="HN55" s="22"/>
      <c r="HO55" s="22"/>
      <c r="HP55" s="22"/>
      <c r="HQ55" s="22"/>
      <c r="HR55" s="22"/>
      <c r="HS55" s="22"/>
      <c r="HT55" s="22"/>
      <c r="HU55" s="22"/>
      <c r="HV55" s="22"/>
      <c r="HW55" s="22"/>
      <c r="HX55" s="22"/>
      <c r="HY55" s="22"/>
      <c r="HZ55" s="22"/>
      <c r="IA55" s="22"/>
      <c r="IB55" s="22"/>
      <c r="IC55" s="22"/>
      <c r="ID55" s="22"/>
      <c r="IE55" s="22"/>
      <c r="IF55" s="22"/>
      <c r="IG55" s="22"/>
      <c r="IH55" s="22"/>
      <c r="II55" s="22"/>
      <c r="IJ55" s="22"/>
      <c r="IK55" s="22"/>
      <c r="IL55" s="22"/>
      <c r="IM55" s="22"/>
      <c r="IN55" s="22"/>
      <c r="IO55" s="22"/>
      <c r="IP55" s="22"/>
      <c r="IQ55" s="22"/>
      <c r="IR55" s="22"/>
      <c r="IS55" s="22"/>
      <c r="IT55" s="22"/>
    </row>
    <row r="56" spans="1:254" ht="18.75" hidden="1" x14ac:dyDescent="0.3">
      <c r="A56" s="33" t="s">
        <v>168</v>
      </c>
      <c r="B56" s="79">
        <v>10</v>
      </c>
      <c r="C56" s="79" t="s">
        <v>118</v>
      </c>
      <c r="D56" s="29" t="s">
        <v>50</v>
      </c>
      <c r="E56" s="29" t="s">
        <v>51</v>
      </c>
      <c r="F56" s="30">
        <f>'В-26,27'!G1120+'В-26,27'!G287</f>
        <v>0</v>
      </c>
      <c r="G56" s="30">
        <f>'В-26,27'!H1120+'В-26,27'!H287</f>
        <v>0</v>
      </c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22"/>
      <c r="DF56" s="22"/>
      <c r="DG56" s="22"/>
      <c r="DH56" s="22"/>
      <c r="DI56" s="22"/>
      <c r="DJ56" s="22"/>
      <c r="DK56" s="22"/>
      <c r="DL56" s="22"/>
      <c r="DM56" s="22"/>
      <c r="DN56" s="22"/>
      <c r="DO56" s="22"/>
      <c r="DP56" s="22"/>
      <c r="DQ56" s="22"/>
      <c r="DR56" s="22"/>
      <c r="DS56" s="22"/>
      <c r="DT56" s="22"/>
      <c r="DU56" s="22"/>
      <c r="DV56" s="22"/>
      <c r="DW56" s="22"/>
      <c r="DX56" s="22"/>
      <c r="DY56" s="22"/>
      <c r="DZ56" s="22"/>
      <c r="EA56" s="22"/>
      <c r="EB56" s="22"/>
      <c r="EC56" s="22"/>
      <c r="ED56" s="22"/>
      <c r="EE56" s="22"/>
      <c r="EF56" s="22"/>
      <c r="EG56" s="22"/>
      <c r="EH56" s="22"/>
      <c r="EI56" s="22"/>
      <c r="EJ56" s="22"/>
      <c r="EK56" s="22"/>
      <c r="EL56" s="22"/>
      <c r="EM56" s="22"/>
      <c r="EN56" s="22"/>
      <c r="EO56" s="22"/>
      <c r="EP56" s="22"/>
      <c r="EQ56" s="22"/>
      <c r="ER56" s="22"/>
      <c r="ES56" s="22"/>
      <c r="ET56" s="22"/>
      <c r="EU56" s="22"/>
      <c r="EV56" s="22"/>
      <c r="EW56" s="22"/>
      <c r="EX56" s="22"/>
      <c r="EY56" s="22"/>
      <c r="EZ56" s="22"/>
      <c r="FA56" s="22"/>
      <c r="FB56" s="22"/>
      <c r="FC56" s="22"/>
      <c r="FD56" s="22"/>
      <c r="FE56" s="22"/>
      <c r="FF56" s="22"/>
      <c r="FG56" s="22"/>
      <c r="FH56" s="22"/>
      <c r="FI56" s="22"/>
      <c r="FJ56" s="22"/>
      <c r="FK56" s="22"/>
      <c r="FL56" s="22"/>
      <c r="FM56" s="22"/>
      <c r="FN56" s="22"/>
      <c r="FO56" s="22"/>
      <c r="FP56" s="22"/>
      <c r="FQ56" s="22"/>
      <c r="FR56" s="22"/>
      <c r="FS56" s="22"/>
      <c r="FT56" s="22"/>
      <c r="FU56" s="22"/>
      <c r="FV56" s="22"/>
      <c r="FW56" s="22"/>
      <c r="FX56" s="22"/>
      <c r="FY56" s="22"/>
      <c r="FZ56" s="22"/>
      <c r="GA56" s="22"/>
      <c r="GB56" s="22"/>
      <c r="GC56" s="22"/>
      <c r="GD56" s="22"/>
      <c r="GE56" s="22"/>
      <c r="GF56" s="22"/>
      <c r="GG56" s="22"/>
      <c r="GH56" s="22"/>
      <c r="GI56" s="22"/>
      <c r="GJ56" s="22"/>
      <c r="GK56" s="22"/>
      <c r="GL56" s="22"/>
      <c r="GM56" s="22"/>
      <c r="GN56" s="22"/>
      <c r="GO56" s="22"/>
      <c r="GP56" s="22"/>
      <c r="GQ56" s="22"/>
      <c r="GR56" s="22"/>
      <c r="GS56" s="22"/>
      <c r="GT56" s="22"/>
      <c r="GU56" s="22"/>
      <c r="GV56" s="22"/>
      <c r="GW56" s="22"/>
      <c r="GX56" s="22"/>
      <c r="GY56" s="22"/>
      <c r="GZ56" s="22"/>
      <c r="HA56" s="22"/>
      <c r="HB56" s="22"/>
      <c r="HC56" s="22"/>
      <c r="HD56" s="22"/>
      <c r="HE56" s="22"/>
      <c r="HF56" s="22"/>
      <c r="HG56" s="22"/>
      <c r="HH56" s="22"/>
      <c r="HI56" s="22"/>
      <c r="HJ56" s="22"/>
      <c r="HK56" s="22"/>
      <c r="HL56" s="22"/>
      <c r="HM56" s="22"/>
      <c r="HN56" s="22"/>
      <c r="HO56" s="22"/>
      <c r="HP56" s="22"/>
      <c r="HQ56" s="22"/>
      <c r="HR56" s="22"/>
      <c r="HS56" s="22"/>
      <c r="HT56" s="22"/>
      <c r="HU56" s="22"/>
      <c r="HV56" s="22"/>
      <c r="HW56" s="22"/>
      <c r="HX56" s="22"/>
      <c r="HY56" s="22"/>
      <c r="HZ56" s="22"/>
      <c r="IA56" s="22"/>
      <c r="IB56" s="22"/>
      <c r="IC56" s="22"/>
      <c r="ID56" s="22"/>
      <c r="IE56" s="22"/>
      <c r="IF56" s="22"/>
      <c r="IG56" s="22"/>
      <c r="IH56" s="22"/>
      <c r="II56" s="22"/>
      <c r="IJ56" s="22"/>
      <c r="IK56" s="22"/>
      <c r="IL56" s="22"/>
      <c r="IM56" s="22"/>
      <c r="IN56" s="22"/>
      <c r="IO56" s="22"/>
      <c r="IP56" s="22"/>
      <c r="IQ56" s="22"/>
      <c r="IR56" s="22"/>
      <c r="IS56" s="22"/>
      <c r="IT56" s="22"/>
    </row>
    <row r="57" spans="1:254" ht="20.25" customHeight="1" x14ac:dyDescent="0.3">
      <c r="A57" s="33" t="s">
        <v>172</v>
      </c>
      <c r="B57" s="79">
        <v>10</v>
      </c>
      <c r="C57" s="79" t="s">
        <v>122</v>
      </c>
      <c r="D57" s="29" t="s">
        <v>50</v>
      </c>
      <c r="E57" s="29" t="s">
        <v>51</v>
      </c>
      <c r="F57" s="30">
        <f>'В-26,27'!G294+'В-26,27'!G1137+'В-26,27'!G374</f>
        <v>35194.21</v>
      </c>
      <c r="G57" s="30">
        <f>'В-26,27'!H294+'В-26,27'!H1137</f>
        <v>33747.61</v>
      </c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22"/>
      <c r="CW57" s="22"/>
      <c r="CX57" s="22"/>
      <c r="CY57" s="2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  <c r="DL57" s="22"/>
      <c r="DM57" s="22"/>
      <c r="DN57" s="22"/>
      <c r="DO57" s="22"/>
      <c r="DP57" s="22"/>
      <c r="DQ57" s="22"/>
      <c r="DR57" s="22"/>
      <c r="DS57" s="22"/>
      <c r="DT57" s="22"/>
      <c r="DU57" s="22"/>
      <c r="DV57" s="22"/>
      <c r="DW57" s="22"/>
      <c r="DX57" s="22"/>
      <c r="DY57" s="22"/>
      <c r="DZ57" s="22"/>
      <c r="EA57" s="22"/>
      <c r="EB57" s="22"/>
      <c r="EC57" s="22"/>
      <c r="ED57" s="22"/>
      <c r="EE57" s="22"/>
      <c r="EF57" s="22"/>
      <c r="EG57" s="22"/>
      <c r="EH57" s="22"/>
      <c r="EI57" s="22"/>
      <c r="EJ57" s="22"/>
      <c r="EK57" s="22"/>
      <c r="EL57" s="22"/>
      <c r="EM57" s="22"/>
      <c r="EN57" s="22"/>
      <c r="EO57" s="22"/>
      <c r="EP57" s="22"/>
      <c r="EQ57" s="22"/>
      <c r="ER57" s="22"/>
      <c r="ES57" s="22"/>
      <c r="ET57" s="22"/>
      <c r="EU57" s="22"/>
      <c r="EV57" s="22"/>
      <c r="EW57" s="22"/>
      <c r="EX57" s="22"/>
      <c r="EY57" s="22"/>
      <c r="EZ57" s="22"/>
      <c r="FA57" s="22"/>
      <c r="FB57" s="22"/>
      <c r="FC57" s="22"/>
      <c r="FD57" s="22"/>
      <c r="FE57" s="22"/>
      <c r="FF57" s="22"/>
      <c r="FG57" s="22"/>
      <c r="FH57" s="22"/>
      <c r="FI57" s="22"/>
      <c r="FJ57" s="22"/>
      <c r="FK57" s="22"/>
      <c r="FL57" s="22"/>
      <c r="FM57" s="22"/>
      <c r="FN57" s="22"/>
      <c r="FO57" s="22"/>
      <c r="FP57" s="22"/>
      <c r="FQ57" s="22"/>
      <c r="FR57" s="22"/>
      <c r="FS57" s="22"/>
      <c r="FT57" s="22"/>
      <c r="FU57" s="22"/>
      <c r="FV57" s="22"/>
      <c r="FW57" s="22"/>
      <c r="FX57" s="22"/>
      <c r="FY57" s="22"/>
      <c r="FZ57" s="22"/>
      <c r="GA57" s="22"/>
      <c r="GB57" s="22"/>
      <c r="GC57" s="22"/>
      <c r="GD57" s="22"/>
      <c r="GE57" s="22"/>
      <c r="GF57" s="22"/>
      <c r="GG57" s="22"/>
      <c r="GH57" s="22"/>
      <c r="GI57" s="22"/>
      <c r="GJ57" s="22"/>
      <c r="GK57" s="22"/>
      <c r="GL57" s="22"/>
      <c r="GM57" s="22"/>
      <c r="GN57" s="22"/>
      <c r="GO57" s="22"/>
      <c r="GP57" s="22"/>
      <c r="GQ57" s="22"/>
      <c r="GR57" s="22"/>
      <c r="GS57" s="22"/>
      <c r="GT57" s="22"/>
      <c r="GU57" s="22"/>
      <c r="GV57" s="22"/>
      <c r="GW57" s="22"/>
      <c r="GX57" s="22"/>
      <c r="GY57" s="22"/>
      <c r="GZ57" s="22"/>
      <c r="HA57" s="22"/>
      <c r="HB57" s="22"/>
      <c r="HC57" s="22"/>
      <c r="HD57" s="22"/>
      <c r="HE57" s="22"/>
      <c r="HF57" s="22"/>
      <c r="HG57" s="22"/>
      <c r="HH57" s="22"/>
      <c r="HI57" s="22"/>
      <c r="HJ57" s="22"/>
      <c r="HK57" s="22"/>
      <c r="HL57" s="22"/>
      <c r="HM57" s="22"/>
      <c r="HN57" s="22"/>
      <c r="HO57" s="22"/>
      <c r="HP57" s="22"/>
      <c r="HQ57" s="22"/>
      <c r="HR57" s="22"/>
      <c r="HS57" s="22"/>
      <c r="HT57" s="22"/>
      <c r="HU57" s="22"/>
      <c r="HV57" s="22"/>
      <c r="HW57" s="22"/>
      <c r="HX57" s="22"/>
      <c r="HY57" s="22"/>
      <c r="HZ57" s="22"/>
      <c r="IA57" s="22"/>
      <c r="IB57" s="22"/>
      <c r="IC57" s="22"/>
      <c r="ID57" s="22"/>
      <c r="IE57" s="22"/>
      <c r="IF57" s="22"/>
      <c r="IG57" s="22"/>
      <c r="IH57" s="22"/>
      <c r="II57" s="22"/>
      <c r="IJ57" s="22"/>
      <c r="IK57" s="22"/>
      <c r="IL57" s="22"/>
      <c r="IM57" s="22"/>
      <c r="IN57" s="22"/>
      <c r="IO57" s="22"/>
      <c r="IP57" s="22"/>
      <c r="IQ57" s="22"/>
      <c r="IR57" s="22"/>
      <c r="IS57" s="22"/>
      <c r="IT57" s="22"/>
    </row>
    <row r="58" spans="1:254" ht="38.25" hidden="1" customHeight="1" x14ac:dyDescent="0.3">
      <c r="A58" s="33" t="s">
        <v>328</v>
      </c>
      <c r="B58" s="79" t="s">
        <v>170</v>
      </c>
      <c r="C58" s="79" t="s">
        <v>120</v>
      </c>
      <c r="D58" s="29" t="s">
        <v>50</v>
      </c>
      <c r="E58" s="29" t="s">
        <v>51</v>
      </c>
      <c r="F58" s="30">
        <f>'В-26,27'!G1184</f>
        <v>0</v>
      </c>
      <c r="G58" s="30">
        <f>'В-26,27'!H1184</f>
        <v>0</v>
      </c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  <c r="DP58" s="22"/>
      <c r="DQ58" s="22"/>
      <c r="DR58" s="22"/>
      <c r="DS58" s="22"/>
      <c r="DT58" s="22"/>
      <c r="DU58" s="22"/>
      <c r="DV58" s="22"/>
      <c r="DW58" s="22"/>
      <c r="DX58" s="22"/>
      <c r="DY58" s="22"/>
      <c r="DZ58" s="22"/>
      <c r="EA58" s="22"/>
      <c r="EB58" s="22"/>
      <c r="EC58" s="22"/>
      <c r="ED58" s="22"/>
      <c r="EE58" s="22"/>
      <c r="EF58" s="22"/>
      <c r="EG58" s="22"/>
      <c r="EH58" s="22"/>
      <c r="EI58" s="22"/>
      <c r="EJ58" s="22"/>
      <c r="EK58" s="22"/>
      <c r="EL58" s="22"/>
      <c r="EM58" s="22"/>
      <c r="EN58" s="22"/>
      <c r="EO58" s="22"/>
      <c r="EP58" s="22"/>
      <c r="EQ58" s="22"/>
      <c r="ER58" s="22"/>
      <c r="ES58" s="22"/>
      <c r="ET58" s="22"/>
      <c r="EU58" s="22"/>
      <c r="EV58" s="22"/>
      <c r="EW58" s="22"/>
      <c r="EX58" s="22"/>
      <c r="EY58" s="22"/>
      <c r="EZ58" s="22"/>
      <c r="FA58" s="22"/>
      <c r="FB58" s="22"/>
      <c r="FC58" s="22"/>
      <c r="FD58" s="22"/>
      <c r="FE58" s="22"/>
      <c r="FF58" s="22"/>
      <c r="FG58" s="22"/>
      <c r="FH58" s="22"/>
      <c r="FI58" s="22"/>
      <c r="FJ58" s="22"/>
      <c r="FK58" s="22"/>
      <c r="FL58" s="22"/>
      <c r="FM58" s="22"/>
      <c r="FN58" s="22"/>
      <c r="FO58" s="22"/>
      <c r="FP58" s="22"/>
      <c r="FQ58" s="22"/>
      <c r="FR58" s="22"/>
      <c r="FS58" s="22"/>
      <c r="FT58" s="22"/>
      <c r="FU58" s="22"/>
      <c r="FV58" s="22"/>
      <c r="FW58" s="22"/>
      <c r="FX58" s="22"/>
      <c r="FY58" s="22"/>
      <c r="FZ58" s="22"/>
      <c r="GA58" s="22"/>
      <c r="GB58" s="22"/>
      <c r="GC58" s="22"/>
      <c r="GD58" s="22"/>
      <c r="GE58" s="22"/>
      <c r="GF58" s="22"/>
      <c r="GG58" s="22"/>
      <c r="GH58" s="22"/>
      <c r="GI58" s="22"/>
      <c r="GJ58" s="22"/>
      <c r="GK58" s="22"/>
      <c r="GL58" s="22"/>
      <c r="GM58" s="22"/>
      <c r="GN58" s="22"/>
      <c r="GO58" s="22"/>
      <c r="GP58" s="22"/>
      <c r="GQ58" s="22"/>
      <c r="GR58" s="22"/>
      <c r="GS58" s="22"/>
      <c r="GT58" s="22"/>
      <c r="GU58" s="22"/>
      <c r="GV58" s="22"/>
      <c r="GW58" s="22"/>
      <c r="GX58" s="22"/>
      <c r="GY58" s="22"/>
      <c r="GZ58" s="22"/>
      <c r="HA58" s="22"/>
      <c r="HB58" s="22"/>
      <c r="HC58" s="22"/>
      <c r="HD58" s="22"/>
      <c r="HE58" s="22"/>
      <c r="HF58" s="22"/>
      <c r="HG58" s="22"/>
      <c r="HH58" s="22"/>
      <c r="HI58" s="22"/>
      <c r="HJ58" s="22"/>
      <c r="HK58" s="22"/>
      <c r="HL58" s="22"/>
      <c r="HM58" s="22"/>
      <c r="HN58" s="22"/>
      <c r="HO58" s="22"/>
      <c r="HP58" s="22"/>
      <c r="HQ58" s="22"/>
      <c r="HR58" s="22"/>
      <c r="HS58" s="22"/>
      <c r="HT58" s="22"/>
      <c r="HU58" s="22"/>
      <c r="HV58" s="22"/>
      <c r="HW58" s="22"/>
      <c r="HX58" s="22"/>
      <c r="HY58" s="22"/>
      <c r="HZ58" s="22"/>
      <c r="IA58" s="22"/>
      <c r="IB58" s="22"/>
      <c r="IC58" s="22"/>
      <c r="ID58" s="22"/>
      <c r="IE58" s="22"/>
      <c r="IF58" s="22"/>
      <c r="IG58" s="22"/>
      <c r="IH58" s="22"/>
      <c r="II58" s="22"/>
      <c r="IJ58" s="22"/>
      <c r="IK58" s="22"/>
      <c r="IL58" s="22"/>
      <c r="IM58" s="22"/>
      <c r="IN58" s="22"/>
      <c r="IO58" s="22"/>
      <c r="IP58" s="22"/>
      <c r="IQ58" s="22"/>
      <c r="IR58" s="22"/>
      <c r="IS58" s="22"/>
      <c r="IT58" s="22"/>
    </row>
    <row r="59" spans="1:254" ht="18.75" x14ac:dyDescent="0.3">
      <c r="A59" s="40" t="s">
        <v>331</v>
      </c>
      <c r="B59" s="41">
        <v>11</v>
      </c>
      <c r="C59" s="29" t="s">
        <v>113</v>
      </c>
      <c r="D59" s="29" t="s">
        <v>50</v>
      </c>
      <c r="E59" s="29" t="s">
        <v>51</v>
      </c>
      <c r="F59" s="30">
        <f>F60+F61</f>
        <v>47288.7</v>
      </c>
      <c r="G59" s="30">
        <f>G60+G61</f>
        <v>47288.7</v>
      </c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22"/>
      <c r="DG59" s="22"/>
      <c r="DH59" s="22"/>
      <c r="DI59" s="22"/>
      <c r="DJ59" s="22"/>
      <c r="DK59" s="22"/>
      <c r="DL59" s="22"/>
      <c r="DM59" s="22"/>
      <c r="DN59" s="22"/>
      <c r="DO59" s="22"/>
      <c r="DP59" s="22"/>
      <c r="DQ59" s="22"/>
      <c r="DR59" s="22"/>
      <c r="DS59" s="22"/>
      <c r="DT59" s="22"/>
      <c r="DU59" s="22"/>
      <c r="DV59" s="22"/>
      <c r="DW59" s="22"/>
      <c r="DX59" s="22"/>
      <c r="DY59" s="22"/>
      <c r="DZ59" s="22"/>
      <c r="EA59" s="22"/>
      <c r="EB59" s="22"/>
      <c r="EC59" s="22"/>
      <c r="ED59" s="22"/>
      <c r="EE59" s="22"/>
      <c r="EF59" s="22"/>
      <c r="EG59" s="22"/>
      <c r="EH59" s="22"/>
      <c r="EI59" s="22"/>
      <c r="EJ59" s="22"/>
      <c r="EK59" s="22"/>
      <c r="EL59" s="22"/>
      <c r="EM59" s="22"/>
      <c r="EN59" s="22"/>
      <c r="EO59" s="22"/>
      <c r="EP59" s="22"/>
      <c r="EQ59" s="22"/>
      <c r="ER59" s="22"/>
      <c r="ES59" s="22"/>
      <c r="ET59" s="22"/>
      <c r="EU59" s="22"/>
      <c r="EV59" s="22"/>
      <c r="EW59" s="22"/>
      <c r="EX59" s="22"/>
      <c r="EY59" s="22"/>
      <c r="EZ59" s="22"/>
      <c r="FA59" s="22"/>
      <c r="FB59" s="22"/>
      <c r="FC59" s="22"/>
      <c r="FD59" s="22"/>
      <c r="FE59" s="22"/>
      <c r="FF59" s="22"/>
      <c r="FG59" s="22"/>
      <c r="FH59" s="22"/>
      <c r="FI59" s="22"/>
      <c r="FJ59" s="22"/>
      <c r="FK59" s="22"/>
      <c r="FL59" s="22"/>
      <c r="FM59" s="22"/>
      <c r="FN59" s="22"/>
      <c r="FO59" s="22"/>
      <c r="FP59" s="22"/>
      <c r="FQ59" s="22"/>
      <c r="FR59" s="22"/>
      <c r="FS59" s="22"/>
      <c r="FT59" s="22"/>
      <c r="FU59" s="22"/>
      <c r="FV59" s="22"/>
      <c r="FW59" s="22"/>
      <c r="FX59" s="22"/>
      <c r="FY59" s="22"/>
      <c r="FZ59" s="22"/>
      <c r="GA59" s="22"/>
      <c r="GB59" s="22"/>
      <c r="GC59" s="22"/>
      <c r="GD59" s="22"/>
      <c r="GE59" s="22"/>
      <c r="GF59" s="22"/>
      <c r="GG59" s="22"/>
      <c r="GH59" s="22"/>
      <c r="GI59" s="22"/>
      <c r="GJ59" s="22"/>
      <c r="GK59" s="22"/>
      <c r="GL59" s="22"/>
      <c r="GM59" s="22"/>
      <c r="GN59" s="22"/>
      <c r="GO59" s="22"/>
      <c r="GP59" s="22"/>
      <c r="GQ59" s="22"/>
      <c r="GR59" s="22"/>
      <c r="GS59" s="22"/>
      <c r="GT59" s="22"/>
      <c r="GU59" s="22"/>
      <c r="GV59" s="22"/>
      <c r="GW59" s="22"/>
      <c r="GX59" s="22"/>
      <c r="GY59" s="22"/>
      <c r="GZ59" s="22"/>
      <c r="HA59" s="22"/>
      <c r="HB59" s="22"/>
      <c r="HC59" s="22"/>
      <c r="HD59" s="22"/>
      <c r="HE59" s="22"/>
      <c r="HF59" s="22"/>
      <c r="HG59" s="22"/>
      <c r="HH59" s="22"/>
      <c r="HI59" s="22"/>
      <c r="HJ59" s="22"/>
      <c r="HK59" s="22"/>
      <c r="HL59" s="22"/>
      <c r="HM59" s="22"/>
      <c r="HN59" s="22"/>
      <c r="HO59" s="22"/>
      <c r="HP59" s="22"/>
      <c r="HQ59" s="22"/>
      <c r="HR59" s="22"/>
      <c r="HS59" s="22"/>
      <c r="HT59" s="22"/>
      <c r="HU59" s="22"/>
      <c r="HV59" s="22"/>
      <c r="HW59" s="22"/>
      <c r="HX59" s="22"/>
      <c r="HY59" s="22"/>
      <c r="HZ59" s="22"/>
      <c r="IA59" s="22"/>
      <c r="IB59" s="22"/>
      <c r="IC59" s="22"/>
      <c r="ID59" s="22"/>
      <c r="IE59" s="22"/>
      <c r="IF59" s="22"/>
      <c r="IG59" s="22"/>
      <c r="IH59" s="22"/>
      <c r="II59" s="22"/>
      <c r="IJ59" s="22"/>
      <c r="IK59" s="22"/>
      <c r="IL59" s="22"/>
      <c r="IM59" s="22"/>
      <c r="IN59" s="22"/>
      <c r="IO59" s="22"/>
      <c r="IP59" s="22"/>
      <c r="IQ59" s="22"/>
      <c r="IR59" s="22"/>
      <c r="IS59" s="22"/>
      <c r="IT59" s="22"/>
    </row>
    <row r="60" spans="1:254" ht="18.75" hidden="1" x14ac:dyDescent="0.3">
      <c r="A60" s="40" t="s">
        <v>332</v>
      </c>
      <c r="B60" s="41">
        <v>11</v>
      </c>
      <c r="C60" s="29" t="s">
        <v>117</v>
      </c>
      <c r="D60" s="29" t="s">
        <v>50</v>
      </c>
      <c r="E60" s="29" t="s">
        <v>51</v>
      </c>
      <c r="F60" s="30">
        <f>'В-26,27'!G1196</f>
        <v>0</v>
      </c>
      <c r="G60" s="30">
        <f>'В-26,27'!H1196</f>
        <v>0</v>
      </c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2"/>
      <c r="DQ60" s="22"/>
      <c r="DR60" s="22"/>
      <c r="DS60" s="22"/>
      <c r="DT60" s="22"/>
      <c r="DU60" s="22"/>
      <c r="DV60" s="22"/>
      <c r="DW60" s="22"/>
      <c r="DX60" s="22"/>
      <c r="DY60" s="22"/>
      <c r="DZ60" s="22"/>
      <c r="EA60" s="22"/>
      <c r="EB60" s="22"/>
      <c r="EC60" s="22"/>
      <c r="ED60" s="22"/>
      <c r="EE60" s="22"/>
      <c r="EF60" s="22"/>
      <c r="EG60" s="22"/>
      <c r="EH60" s="22"/>
      <c r="EI60" s="22"/>
      <c r="EJ60" s="22"/>
      <c r="EK60" s="22"/>
      <c r="EL60" s="22"/>
      <c r="EM60" s="22"/>
      <c r="EN60" s="22"/>
      <c r="EO60" s="22"/>
      <c r="EP60" s="22"/>
      <c r="EQ60" s="22"/>
      <c r="ER60" s="22"/>
      <c r="ES60" s="22"/>
      <c r="ET60" s="22"/>
      <c r="EU60" s="22"/>
      <c r="EV60" s="22"/>
      <c r="EW60" s="22"/>
      <c r="EX60" s="22"/>
      <c r="EY60" s="22"/>
      <c r="EZ60" s="22"/>
      <c r="FA60" s="22"/>
      <c r="FB60" s="22"/>
      <c r="FC60" s="22"/>
      <c r="FD60" s="22"/>
      <c r="FE60" s="22"/>
      <c r="FF60" s="22"/>
      <c r="FG60" s="22"/>
      <c r="FH60" s="22"/>
      <c r="FI60" s="22"/>
      <c r="FJ60" s="22"/>
      <c r="FK60" s="22"/>
      <c r="FL60" s="22"/>
      <c r="FM60" s="22"/>
      <c r="FN60" s="22"/>
      <c r="FO60" s="22"/>
      <c r="FP60" s="22"/>
      <c r="FQ60" s="22"/>
      <c r="FR60" s="22"/>
      <c r="FS60" s="22"/>
      <c r="FT60" s="22"/>
      <c r="FU60" s="22"/>
      <c r="FV60" s="22"/>
      <c r="FW60" s="22"/>
      <c r="FX60" s="22"/>
      <c r="FY60" s="22"/>
      <c r="FZ60" s="22"/>
      <c r="GA60" s="22"/>
      <c r="GB60" s="22"/>
      <c r="GC60" s="22"/>
      <c r="GD60" s="22"/>
      <c r="GE60" s="22"/>
      <c r="GF60" s="22"/>
      <c r="GG60" s="22"/>
      <c r="GH60" s="22"/>
      <c r="GI60" s="22"/>
      <c r="GJ60" s="22"/>
      <c r="GK60" s="22"/>
      <c r="GL60" s="22"/>
      <c r="GM60" s="22"/>
      <c r="GN60" s="22"/>
      <c r="GO60" s="22"/>
      <c r="GP60" s="22"/>
      <c r="GQ60" s="22"/>
      <c r="GR60" s="22"/>
      <c r="GS60" s="22"/>
      <c r="GT60" s="22"/>
      <c r="GU60" s="22"/>
      <c r="GV60" s="22"/>
      <c r="GW60" s="22"/>
      <c r="GX60" s="22"/>
      <c r="GY60" s="22"/>
      <c r="GZ60" s="22"/>
      <c r="HA60" s="22"/>
      <c r="HB60" s="22"/>
      <c r="HC60" s="22"/>
      <c r="HD60" s="22"/>
      <c r="HE60" s="22"/>
      <c r="HF60" s="22"/>
      <c r="HG60" s="22"/>
      <c r="HH60" s="22"/>
      <c r="HI60" s="22"/>
      <c r="HJ60" s="22"/>
      <c r="HK60" s="22"/>
      <c r="HL60" s="22"/>
      <c r="HM60" s="22"/>
      <c r="HN60" s="22"/>
      <c r="HO60" s="22"/>
      <c r="HP60" s="22"/>
      <c r="HQ60" s="22"/>
      <c r="HR60" s="22"/>
      <c r="HS60" s="22"/>
      <c r="HT60" s="22"/>
      <c r="HU60" s="22"/>
      <c r="HV60" s="22"/>
      <c r="HW60" s="22"/>
      <c r="HX60" s="22"/>
      <c r="HY60" s="22"/>
      <c r="HZ60" s="22"/>
      <c r="IA60" s="22"/>
      <c r="IB60" s="22"/>
      <c r="IC60" s="22"/>
      <c r="ID60" s="22"/>
      <c r="IE60" s="22"/>
      <c r="IF60" s="22"/>
      <c r="IG60" s="22"/>
      <c r="IH60" s="22"/>
      <c r="II60" s="22"/>
      <c r="IJ60" s="22"/>
      <c r="IK60" s="22"/>
      <c r="IL60" s="22"/>
      <c r="IM60" s="22"/>
      <c r="IN60" s="22"/>
      <c r="IO60" s="22"/>
      <c r="IP60" s="22"/>
      <c r="IQ60" s="22"/>
      <c r="IR60" s="22"/>
      <c r="IS60" s="22"/>
      <c r="IT60" s="22"/>
    </row>
    <row r="61" spans="1:254" ht="18.75" x14ac:dyDescent="0.3">
      <c r="A61" s="40" t="s">
        <v>336</v>
      </c>
      <c r="B61" s="41">
        <v>11</v>
      </c>
      <c r="C61" s="29" t="s">
        <v>118</v>
      </c>
      <c r="D61" s="29" t="s">
        <v>50</v>
      </c>
      <c r="E61" s="29" t="s">
        <v>51</v>
      </c>
      <c r="F61" s="30">
        <f>'В-26,27'!G1208</f>
        <v>47288.7</v>
      </c>
      <c r="G61" s="30">
        <f>'В-26,27'!H1208</f>
        <v>47288.7</v>
      </c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  <c r="DP61" s="22"/>
      <c r="DQ61" s="22"/>
      <c r="DR61" s="22"/>
      <c r="DS61" s="22"/>
      <c r="DT61" s="22"/>
      <c r="DU61" s="22"/>
      <c r="DV61" s="22"/>
      <c r="DW61" s="22"/>
      <c r="DX61" s="22"/>
      <c r="DY61" s="22"/>
      <c r="DZ61" s="22"/>
      <c r="EA61" s="22"/>
      <c r="EB61" s="22"/>
      <c r="EC61" s="22"/>
      <c r="ED61" s="22"/>
      <c r="EE61" s="22"/>
      <c r="EF61" s="22"/>
      <c r="EG61" s="22"/>
      <c r="EH61" s="22"/>
      <c r="EI61" s="22"/>
      <c r="EJ61" s="22"/>
      <c r="EK61" s="22"/>
      <c r="EL61" s="22"/>
      <c r="EM61" s="22"/>
      <c r="EN61" s="22"/>
      <c r="EO61" s="22"/>
      <c r="EP61" s="22"/>
      <c r="EQ61" s="22"/>
      <c r="ER61" s="22"/>
      <c r="ES61" s="22"/>
      <c r="ET61" s="22"/>
      <c r="EU61" s="22"/>
      <c r="EV61" s="22"/>
      <c r="EW61" s="22"/>
      <c r="EX61" s="22"/>
      <c r="EY61" s="22"/>
      <c r="EZ61" s="22"/>
      <c r="FA61" s="22"/>
      <c r="FB61" s="22"/>
      <c r="FC61" s="22"/>
      <c r="FD61" s="22"/>
      <c r="FE61" s="22"/>
      <c r="FF61" s="22"/>
      <c r="FG61" s="22"/>
      <c r="FH61" s="22"/>
      <c r="FI61" s="22"/>
      <c r="FJ61" s="22"/>
      <c r="FK61" s="22"/>
      <c r="FL61" s="22"/>
      <c r="FM61" s="22"/>
      <c r="FN61" s="22"/>
      <c r="FO61" s="22"/>
      <c r="FP61" s="22"/>
      <c r="FQ61" s="22"/>
      <c r="FR61" s="22"/>
      <c r="FS61" s="22"/>
      <c r="FT61" s="22"/>
      <c r="FU61" s="22"/>
      <c r="FV61" s="22"/>
      <c r="FW61" s="22"/>
      <c r="FX61" s="22"/>
      <c r="FY61" s="22"/>
      <c r="FZ61" s="22"/>
      <c r="GA61" s="22"/>
      <c r="GB61" s="22"/>
      <c r="GC61" s="22"/>
      <c r="GD61" s="22"/>
      <c r="GE61" s="22"/>
      <c r="GF61" s="22"/>
      <c r="GG61" s="22"/>
      <c r="GH61" s="22"/>
      <c r="GI61" s="22"/>
      <c r="GJ61" s="22"/>
      <c r="GK61" s="22"/>
      <c r="GL61" s="22"/>
      <c r="GM61" s="22"/>
      <c r="GN61" s="22"/>
      <c r="GO61" s="22"/>
      <c r="GP61" s="22"/>
      <c r="GQ61" s="22"/>
      <c r="GR61" s="22"/>
      <c r="GS61" s="22"/>
      <c r="GT61" s="22"/>
      <c r="GU61" s="22"/>
      <c r="GV61" s="22"/>
      <c r="GW61" s="22"/>
      <c r="GX61" s="22"/>
      <c r="GY61" s="22"/>
      <c r="GZ61" s="22"/>
      <c r="HA61" s="22"/>
      <c r="HB61" s="22"/>
      <c r="HC61" s="22"/>
      <c r="HD61" s="22"/>
      <c r="HE61" s="22"/>
      <c r="HF61" s="22"/>
      <c r="HG61" s="22"/>
      <c r="HH61" s="22"/>
      <c r="HI61" s="22"/>
      <c r="HJ61" s="22"/>
      <c r="HK61" s="22"/>
      <c r="HL61" s="22"/>
      <c r="HM61" s="22"/>
      <c r="HN61" s="22"/>
      <c r="HO61" s="22"/>
      <c r="HP61" s="22"/>
      <c r="HQ61" s="22"/>
      <c r="HR61" s="22"/>
      <c r="HS61" s="22"/>
      <c r="HT61" s="22"/>
      <c r="HU61" s="22"/>
      <c r="HV61" s="22"/>
      <c r="HW61" s="22"/>
      <c r="HX61" s="22"/>
      <c r="HY61" s="22"/>
      <c r="HZ61" s="22"/>
      <c r="IA61" s="22"/>
      <c r="IB61" s="22"/>
      <c r="IC61" s="22"/>
      <c r="ID61" s="22"/>
      <c r="IE61" s="22"/>
      <c r="IF61" s="22"/>
      <c r="IG61" s="22"/>
      <c r="IH61" s="22"/>
      <c r="II61" s="22"/>
      <c r="IJ61" s="22"/>
      <c r="IK61" s="22"/>
      <c r="IL61" s="22"/>
      <c r="IM61" s="22"/>
      <c r="IN61" s="22"/>
      <c r="IO61" s="22"/>
      <c r="IP61" s="22"/>
      <c r="IQ61" s="22"/>
      <c r="IR61" s="22"/>
      <c r="IS61" s="22"/>
      <c r="IT61" s="22"/>
    </row>
    <row r="62" spans="1:254" ht="37.5" x14ac:dyDescent="0.3">
      <c r="A62" s="33" t="s">
        <v>188</v>
      </c>
      <c r="B62" s="29">
        <v>13</v>
      </c>
      <c r="C62" s="29" t="s">
        <v>113</v>
      </c>
      <c r="D62" s="29" t="s">
        <v>50</v>
      </c>
      <c r="E62" s="29" t="s">
        <v>51</v>
      </c>
      <c r="F62" s="30">
        <f>F63</f>
        <v>17367.900000000001</v>
      </c>
      <c r="G62" s="30">
        <f>G63</f>
        <v>12867.9</v>
      </c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  <c r="DP62" s="22"/>
      <c r="DQ62" s="22"/>
      <c r="DR62" s="22"/>
      <c r="DS62" s="22"/>
      <c r="DT62" s="22"/>
      <c r="DU62" s="22"/>
      <c r="DV62" s="22"/>
      <c r="DW62" s="22"/>
      <c r="DX62" s="22"/>
      <c r="DY62" s="22"/>
      <c r="DZ62" s="22"/>
      <c r="EA62" s="22"/>
      <c r="EB62" s="22"/>
      <c r="EC62" s="22"/>
      <c r="ED62" s="22"/>
      <c r="EE62" s="22"/>
      <c r="EF62" s="22"/>
      <c r="EG62" s="22"/>
      <c r="EH62" s="22"/>
      <c r="EI62" s="22"/>
      <c r="EJ62" s="22"/>
      <c r="EK62" s="22"/>
      <c r="EL62" s="22"/>
      <c r="EM62" s="22"/>
      <c r="EN62" s="22"/>
      <c r="EO62" s="22"/>
      <c r="EP62" s="22"/>
      <c r="EQ62" s="22"/>
      <c r="ER62" s="22"/>
      <c r="ES62" s="22"/>
      <c r="ET62" s="22"/>
      <c r="EU62" s="22"/>
      <c r="EV62" s="22"/>
      <c r="EW62" s="22"/>
      <c r="EX62" s="22"/>
      <c r="EY62" s="22"/>
      <c r="EZ62" s="22"/>
      <c r="FA62" s="22"/>
      <c r="FB62" s="22"/>
      <c r="FC62" s="22"/>
      <c r="FD62" s="22"/>
      <c r="FE62" s="22"/>
      <c r="FF62" s="22"/>
      <c r="FG62" s="22"/>
      <c r="FH62" s="22"/>
      <c r="FI62" s="22"/>
      <c r="FJ62" s="22"/>
      <c r="FK62" s="22"/>
      <c r="FL62" s="22"/>
      <c r="FM62" s="22"/>
      <c r="FN62" s="22"/>
      <c r="FO62" s="22"/>
      <c r="FP62" s="22"/>
      <c r="FQ62" s="22"/>
      <c r="FR62" s="22"/>
      <c r="FS62" s="22"/>
      <c r="FT62" s="22"/>
      <c r="FU62" s="22"/>
      <c r="FV62" s="22"/>
      <c r="FW62" s="22"/>
      <c r="FX62" s="22"/>
      <c r="FY62" s="22"/>
      <c r="FZ62" s="22"/>
      <c r="GA62" s="22"/>
      <c r="GB62" s="22"/>
      <c r="GC62" s="22"/>
      <c r="GD62" s="22"/>
      <c r="GE62" s="22"/>
      <c r="GF62" s="22"/>
      <c r="GG62" s="22"/>
      <c r="GH62" s="22"/>
      <c r="GI62" s="22"/>
      <c r="GJ62" s="22"/>
      <c r="GK62" s="22"/>
      <c r="GL62" s="22"/>
      <c r="GM62" s="22"/>
      <c r="GN62" s="22"/>
      <c r="GO62" s="22"/>
      <c r="GP62" s="22"/>
      <c r="GQ62" s="22"/>
      <c r="GR62" s="22"/>
      <c r="GS62" s="22"/>
      <c r="GT62" s="22"/>
      <c r="GU62" s="22"/>
      <c r="GV62" s="22"/>
      <c r="GW62" s="22"/>
      <c r="GX62" s="22"/>
      <c r="GY62" s="22"/>
      <c r="GZ62" s="22"/>
      <c r="HA62" s="22"/>
      <c r="HB62" s="22"/>
      <c r="HC62" s="22"/>
      <c r="HD62" s="22"/>
      <c r="HE62" s="22"/>
      <c r="HF62" s="22"/>
      <c r="HG62" s="22"/>
      <c r="HH62" s="22"/>
      <c r="HI62" s="22"/>
      <c r="HJ62" s="22"/>
      <c r="HK62" s="22"/>
      <c r="HL62" s="22"/>
      <c r="HM62" s="22"/>
      <c r="HN62" s="22"/>
      <c r="HO62" s="22"/>
      <c r="HP62" s="22"/>
      <c r="HQ62" s="22"/>
      <c r="HR62" s="22"/>
      <c r="HS62" s="22"/>
      <c r="HT62" s="22"/>
      <c r="HU62" s="22"/>
      <c r="HV62" s="22"/>
      <c r="HW62" s="22"/>
      <c r="HX62" s="22"/>
      <c r="HY62" s="22"/>
      <c r="HZ62" s="22"/>
      <c r="IA62" s="22"/>
      <c r="IB62" s="22"/>
      <c r="IC62" s="22"/>
      <c r="ID62" s="22"/>
      <c r="IE62" s="22"/>
      <c r="IF62" s="22"/>
      <c r="IG62" s="22"/>
      <c r="IH62" s="22"/>
      <c r="II62" s="22"/>
      <c r="IJ62" s="22"/>
      <c r="IK62" s="22"/>
      <c r="IL62" s="22"/>
      <c r="IM62" s="22"/>
      <c r="IN62" s="22"/>
      <c r="IO62" s="22"/>
      <c r="IP62" s="22"/>
      <c r="IQ62" s="22"/>
      <c r="IR62" s="22"/>
      <c r="IS62" s="22"/>
      <c r="IT62" s="22"/>
    </row>
    <row r="63" spans="1:254" s="39" customFormat="1" ht="37.5" x14ac:dyDescent="0.3">
      <c r="A63" s="33" t="s">
        <v>189</v>
      </c>
      <c r="B63" s="41">
        <v>13</v>
      </c>
      <c r="C63" s="29" t="s">
        <v>116</v>
      </c>
      <c r="D63" s="41" t="s">
        <v>50</v>
      </c>
      <c r="E63" s="29" t="s">
        <v>51</v>
      </c>
      <c r="F63" s="31">
        <f>'В-26,27'!G1241</f>
        <v>17367.900000000001</v>
      </c>
      <c r="G63" s="31">
        <f>'В-26,27'!H1241</f>
        <v>12867.9</v>
      </c>
    </row>
  </sheetData>
  <mergeCells count="13">
    <mergeCell ref="G8:G9"/>
    <mergeCell ref="F8:F9"/>
    <mergeCell ref="A1:F1"/>
    <mergeCell ref="A2:F2"/>
    <mergeCell ref="A3:F3"/>
    <mergeCell ref="A4:F4"/>
    <mergeCell ref="A5:E5"/>
    <mergeCell ref="A6:E6"/>
    <mergeCell ref="A8:A9"/>
    <mergeCell ref="B8:B9"/>
    <mergeCell ref="C8:C9"/>
    <mergeCell ref="D8:D9"/>
    <mergeCell ref="E8:E9"/>
  </mergeCells>
  <pageMargins left="0.39374999999999999" right="0.196527777777778" top="0.196527777777778" bottom="0.196527777777778" header="0.51180555555555496" footer="0.51180555555555496"/>
  <pageSetup paperSize="9" scale="71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981"/>
  <sheetViews>
    <sheetView zoomScale="70" zoomScaleNormal="70" workbookViewId="0">
      <selection activeCell="A5" sqref="A5"/>
    </sheetView>
  </sheetViews>
  <sheetFormatPr defaultRowHeight="12.75" outlineLevelRow="2" x14ac:dyDescent="0.2"/>
  <cols>
    <col min="1" max="1" width="78.28515625" customWidth="1"/>
    <col min="2" max="2" width="22.5703125" customWidth="1"/>
    <col min="3" max="3" width="10.42578125" customWidth="1"/>
    <col min="4" max="5" width="19.140625" style="218" customWidth="1"/>
    <col min="6" max="6" width="16.85546875" hidden="1" customWidth="1"/>
    <col min="7" max="7" width="12.85546875" customWidth="1"/>
    <col min="8" max="8" width="12.140625" customWidth="1"/>
  </cols>
  <sheetData>
    <row r="1" spans="1:9" ht="18.75" x14ac:dyDescent="0.3">
      <c r="A1" s="259" t="s">
        <v>741</v>
      </c>
      <c r="B1" s="259"/>
      <c r="C1" s="259"/>
      <c r="D1" s="259"/>
      <c r="E1" s="212"/>
    </row>
    <row r="2" spans="1:9" ht="18.75" x14ac:dyDescent="0.3">
      <c r="A2" s="260" t="s">
        <v>134</v>
      </c>
      <c r="B2" s="260"/>
      <c r="C2" s="260"/>
      <c r="D2" s="260"/>
      <c r="E2" s="263"/>
    </row>
    <row r="3" spans="1:9" ht="18.75" x14ac:dyDescent="0.3">
      <c r="A3" s="260" t="s">
        <v>135</v>
      </c>
      <c r="B3" s="260"/>
      <c r="C3" s="260"/>
      <c r="D3" s="260"/>
      <c r="E3" s="212"/>
    </row>
    <row r="4" spans="1:9" ht="18.75" x14ac:dyDescent="0.3">
      <c r="A4" s="260" t="s">
        <v>897</v>
      </c>
      <c r="B4" s="260"/>
      <c r="C4" s="260"/>
      <c r="D4" s="260"/>
      <c r="E4" s="263"/>
    </row>
    <row r="6" spans="1:9" ht="18.75" x14ac:dyDescent="0.3">
      <c r="A6" s="261" t="s">
        <v>46</v>
      </c>
      <c r="B6" s="261"/>
      <c r="C6" s="261"/>
      <c r="D6" s="261"/>
      <c r="E6" s="213"/>
    </row>
    <row r="7" spans="1:9" x14ac:dyDescent="0.2">
      <c r="A7" s="262"/>
      <c r="B7" s="262"/>
      <c r="C7" s="262"/>
      <c r="D7" s="262"/>
      <c r="E7" s="214"/>
    </row>
    <row r="8" spans="1:9" ht="30" customHeight="1" x14ac:dyDescent="0.2">
      <c r="A8" s="262"/>
      <c r="B8" s="262"/>
      <c r="C8" s="262"/>
      <c r="D8" s="262"/>
      <c r="E8" s="214"/>
    </row>
    <row r="12" spans="1:9" ht="63.75" customHeight="1" x14ac:dyDescent="0.3">
      <c r="A12" s="1" t="s">
        <v>47</v>
      </c>
      <c r="B12" s="2" t="s">
        <v>48</v>
      </c>
      <c r="C12" s="2" t="s">
        <v>138</v>
      </c>
      <c r="D12" s="215" t="s">
        <v>769</v>
      </c>
      <c r="E12" s="215" t="s">
        <v>854</v>
      </c>
    </row>
    <row r="13" spans="1:9" ht="24" customHeight="1" x14ac:dyDescent="0.3">
      <c r="A13" s="57" t="s">
        <v>49</v>
      </c>
      <c r="B13" s="58" t="s">
        <v>50</v>
      </c>
      <c r="C13" s="58" t="s">
        <v>51</v>
      </c>
      <c r="D13" s="248">
        <f>D15+D205+D279+D296+D367+D409+D615+D629+D655+D727+D775+D761+D645+D769</f>
        <v>1133564.2499999998</v>
      </c>
      <c r="E13" s="248">
        <f>E15+E205+E279+E296+E367+E409+E615+E629+E655+E727+E775+E761+E645+E769</f>
        <v>1065830.6499999999</v>
      </c>
      <c r="F13" s="72"/>
    </row>
    <row r="14" spans="1:9" ht="15" customHeight="1" x14ac:dyDescent="0.3">
      <c r="A14" s="1"/>
      <c r="B14" s="16"/>
      <c r="C14" s="2"/>
      <c r="D14" s="92"/>
      <c r="E14" s="92"/>
      <c r="F14" s="72"/>
    </row>
    <row r="15" spans="1:9" ht="37.5" x14ac:dyDescent="0.3">
      <c r="A15" s="3" t="s">
        <v>38</v>
      </c>
      <c r="B15" s="15" t="s">
        <v>406</v>
      </c>
      <c r="C15" s="15" t="s">
        <v>51</v>
      </c>
      <c r="D15" s="93">
        <f>D16+D140+D151+D171+D189</f>
        <v>763424.76999999979</v>
      </c>
      <c r="E15" s="93">
        <f>E16+E140+E151+E171+E120</f>
        <v>682022.06999999983</v>
      </c>
      <c r="F15" s="72"/>
    </row>
    <row r="16" spans="1:9" ht="39" x14ac:dyDescent="0.35">
      <c r="A16" s="51" t="s">
        <v>139</v>
      </c>
      <c r="B16" s="49" t="s">
        <v>52</v>
      </c>
      <c r="C16" s="49" t="s">
        <v>51</v>
      </c>
      <c r="D16" s="94">
        <f>D17+D62+D104+D97+D101+D123+D126+D83+D90+D95+D85+D129+D134+D117+10.4+D138+D120</f>
        <v>753127.79999999981</v>
      </c>
      <c r="E16" s="94">
        <f>E17+E62+E104+E97+E101+E123+E126+E83+E90+E95+E85+E129+E134+E117+9.7</f>
        <v>671141.29999999981</v>
      </c>
      <c r="F16" s="94">
        <f>F17+F62+F104+F97+F101+F123+F126+F83+F90+F95+F85+F129</f>
        <v>0</v>
      </c>
      <c r="I16" s="249"/>
    </row>
    <row r="17" spans="1:9" ht="36.75" customHeight="1" x14ac:dyDescent="0.3">
      <c r="A17" s="12" t="s">
        <v>53</v>
      </c>
      <c r="B17" s="11" t="s">
        <v>54</v>
      </c>
      <c r="C17" s="11" t="s">
        <v>51</v>
      </c>
      <c r="D17" s="74">
        <f>D18+D27+D44+D54+D22+D32+D25+D36+D60+D48+D58+D38+D40+D52</f>
        <v>264638.49999999994</v>
      </c>
      <c r="E17" s="74">
        <f>E18+E27+E44+E54+E22+E32+E25+E48+E38+E40</f>
        <v>258499</v>
      </c>
      <c r="F17" s="72"/>
      <c r="I17" s="249"/>
    </row>
    <row r="18" spans="1:9" ht="18.75" x14ac:dyDescent="0.3">
      <c r="A18" s="12" t="s">
        <v>55</v>
      </c>
      <c r="B18" s="11" t="s">
        <v>56</v>
      </c>
      <c r="C18" s="11" t="s">
        <v>51</v>
      </c>
      <c r="D18" s="74">
        <f>D19+D20+D21</f>
        <v>60698.799999999996</v>
      </c>
      <c r="E18" s="74">
        <f>E19+E20+E21</f>
        <v>67006.5</v>
      </c>
      <c r="F18" s="72"/>
      <c r="I18" s="249"/>
    </row>
    <row r="19" spans="1:9" ht="75" x14ac:dyDescent="0.3">
      <c r="A19" s="12" t="s">
        <v>57</v>
      </c>
      <c r="B19" s="11" t="s">
        <v>56</v>
      </c>
      <c r="C19" s="11" t="s">
        <v>58</v>
      </c>
      <c r="D19" s="74">
        <f>'В-26,27'!G42+'В-26,27'!G299</f>
        <v>19223.5</v>
      </c>
      <c r="E19" s="74">
        <f>'В-26,27'!H42+'В-26,27'!H299</f>
        <v>25531.200000000001</v>
      </c>
      <c r="F19" s="72"/>
      <c r="G19" s="249"/>
      <c r="H19" s="249"/>
      <c r="I19" s="249"/>
    </row>
    <row r="20" spans="1:9" ht="37.5" x14ac:dyDescent="0.3">
      <c r="A20" s="12" t="s">
        <v>433</v>
      </c>
      <c r="B20" s="11" t="s">
        <v>56</v>
      </c>
      <c r="C20" s="11" t="s">
        <v>60</v>
      </c>
      <c r="D20" s="74">
        <f>'В-26,27'!G43</f>
        <v>41475.299999999996</v>
      </c>
      <c r="E20" s="74">
        <f>'В-26,27'!H43</f>
        <v>41475.300000000003</v>
      </c>
      <c r="F20" s="72"/>
    </row>
    <row r="21" spans="1:9" ht="18.75" hidden="1" x14ac:dyDescent="0.3">
      <c r="A21" s="12" t="s">
        <v>61</v>
      </c>
      <c r="B21" s="11" t="s">
        <v>56</v>
      </c>
      <c r="C21" s="11" t="s">
        <v>62</v>
      </c>
      <c r="D21" s="74">
        <f>'В-26,27'!G44</f>
        <v>0</v>
      </c>
      <c r="E21" s="74">
        <f>'В-26,27'!H44</f>
        <v>0</v>
      </c>
      <c r="F21" s="72"/>
    </row>
    <row r="22" spans="1:9" ht="34.5" customHeight="1" x14ac:dyDescent="0.3">
      <c r="A22" s="2" t="s">
        <v>377</v>
      </c>
      <c r="B22" s="10" t="s">
        <v>375</v>
      </c>
      <c r="C22" s="11" t="s">
        <v>51</v>
      </c>
      <c r="D22" s="74">
        <f>D24+D23</f>
        <v>110417.09999999999</v>
      </c>
      <c r="E22" s="74">
        <f>E24+E23</f>
        <v>104172.49999999999</v>
      </c>
      <c r="F22" s="72"/>
    </row>
    <row r="23" spans="1:9" ht="75" x14ac:dyDescent="0.3">
      <c r="A23" s="12" t="s">
        <v>57</v>
      </c>
      <c r="B23" s="10" t="s">
        <v>375</v>
      </c>
      <c r="C23" s="11" t="s">
        <v>58</v>
      </c>
      <c r="D23" s="74">
        <f>'В-26,27'!G46</f>
        <v>108032.7</v>
      </c>
      <c r="E23" s="74">
        <f>'В-26,27'!H46</f>
        <v>101788.09999999999</v>
      </c>
      <c r="F23" s="72"/>
    </row>
    <row r="24" spans="1:9" ht="18.75" x14ac:dyDescent="0.3">
      <c r="A24" s="12" t="s">
        <v>61</v>
      </c>
      <c r="B24" s="10" t="s">
        <v>375</v>
      </c>
      <c r="C24" s="10" t="s">
        <v>62</v>
      </c>
      <c r="D24" s="74">
        <f>'В-26,27'!G47</f>
        <v>2384.4</v>
      </c>
      <c r="E24" s="74">
        <f>'В-26,27'!H47</f>
        <v>2384.4</v>
      </c>
      <c r="F24" s="72"/>
    </row>
    <row r="25" spans="1:9" ht="37.5" x14ac:dyDescent="0.3">
      <c r="A25" s="2" t="s">
        <v>381</v>
      </c>
      <c r="B25" s="10" t="s">
        <v>382</v>
      </c>
      <c r="C25" s="10" t="s">
        <v>51</v>
      </c>
      <c r="D25" s="74">
        <f>D26</f>
        <v>1028.3</v>
      </c>
      <c r="E25" s="74">
        <f>E26</f>
        <v>965.9</v>
      </c>
      <c r="F25" s="72"/>
    </row>
    <row r="26" spans="1:9" ht="75" x14ac:dyDescent="0.3">
      <c r="A26" s="12" t="s">
        <v>57</v>
      </c>
      <c r="B26" s="10" t="s">
        <v>382</v>
      </c>
      <c r="C26" s="11" t="s">
        <v>58</v>
      </c>
      <c r="D26" s="74">
        <f>'В-26,27'!G49</f>
        <v>1028.3</v>
      </c>
      <c r="E26" s="74">
        <f>'В-26,27'!H49</f>
        <v>965.9</v>
      </c>
      <c r="F26" s="72"/>
    </row>
    <row r="27" spans="1:9" ht="23.25" customHeight="1" x14ac:dyDescent="0.3">
      <c r="A27" s="12" t="s">
        <v>74</v>
      </c>
      <c r="B27" s="10" t="s">
        <v>39</v>
      </c>
      <c r="C27" s="10" t="s">
        <v>51</v>
      </c>
      <c r="D27" s="74">
        <f>D28+D29+D31+D30</f>
        <v>34570.5</v>
      </c>
      <c r="E27" s="74">
        <f>E28+E29+E31+E30</f>
        <v>28430.300000000003</v>
      </c>
      <c r="F27" s="72"/>
    </row>
    <row r="28" spans="1:9" ht="75" x14ac:dyDescent="0.3">
      <c r="A28" s="12" t="s">
        <v>57</v>
      </c>
      <c r="B28" s="10" t="s">
        <v>39</v>
      </c>
      <c r="C28" s="10" t="s">
        <v>58</v>
      </c>
      <c r="D28" s="74">
        <f>'В-26,27'!G71</f>
        <v>380.4</v>
      </c>
      <c r="E28" s="74">
        <f>'В-26,27'!H71</f>
        <v>380.4</v>
      </c>
      <c r="F28" s="72"/>
    </row>
    <row r="29" spans="1:9" ht="37.5" x14ac:dyDescent="0.3">
      <c r="A29" s="12" t="s">
        <v>433</v>
      </c>
      <c r="B29" s="10" t="s">
        <v>39</v>
      </c>
      <c r="C29" s="10" t="s">
        <v>60</v>
      </c>
      <c r="D29" s="74">
        <f>'В-26,27'!G72</f>
        <v>27162.5</v>
      </c>
      <c r="E29" s="74">
        <f>'В-26,27'!H72</f>
        <v>21022.3</v>
      </c>
      <c r="F29" s="72"/>
    </row>
    <row r="30" spans="1:9" ht="37.5" x14ac:dyDescent="0.3">
      <c r="A30" s="12" t="s">
        <v>267</v>
      </c>
      <c r="B30" s="10" t="s">
        <v>39</v>
      </c>
      <c r="C30" s="10" t="s">
        <v>264</v>
      </c>
      <c r="D30" s="74">
        <f>'В-26,27'!G74</f>
        <v>6610.9</v>
      </c>
      <c r="E30" s="74">
        <f>'В-26,27'!H74</f>
        <v>6610.9</v>
      </c>
      <c r="F30" s="72"/>
    </row>
    <row r="31" spans="1:9" ht="18.75" x14ac:dyDescent="0.3">
      <c r="A31" s="12" t="s">
        <v>61</v>
      </c>
      <c r="B31" s="10" t="s">
        <v>39</v>
      </c>
      <c r="C31" s="10" t="s">
        <v>62</v>
      </c>
      <c r="D31" s="74">
        <f>'В-26,27'!G73</f>
        <v>416.70000000000005</v>
      </c>
      <c r="E31" s="74">
        <f>'В-26,27'!H73</f>
        <v>416.70000000000005</v>
      </c>
      <c r="F31" s="72"/>
    </row>
    <row r="32" spans="1:9" ht="38.25" customHeight="1" x14ac:dyDescent="0.3">
      <c r="A32" s="2" t="s">
        <v>377</v>
      </c>
      <c r="B32" s="10" t="s">
        <v>379</v>
      </c>
      <c r="C32" s="11" t="s">
        <v>51</v>
      </c>
      <c r="D32" s="74">
        <f>D34+D35+D33</f>
        <v>304.5</v>
      </c>
      <c r="E32" s="74">
        <f>E34+E35+E33</f>
        <v>304.5</v>
      </c>
      <c r="F32" s="72"/>
    </row>
    <row r="33" spans="1:6" ht="79.5" hidden="1" customHeight="1" x14ac:dyDescent="0.3">
      <c r="A33" s="12" t="s">
        <v>57</v>
      </c>
      <c r="B33" s="10" t="s">
        <v>379</v>
      </c>
      <c r="C33" s="11" t="s">
        <v>58</v>
      </c>
      <c r="D33" s="74">
        <f>'В-26,27'!G81</f>
        <v>0</v>
      </c>
      <c r="E33" s="74">
        <f>'В-26,27'!H81</f>
        <v>0</v>
      </c>
      <c r="F33" s="72"/>
    </row>
    <row r="34" spans="1:6" ht="37.5" hidden="1" x14ac:dyDescent="0.3">
      <c r="A34" s="12" t="s">
        <v>267</v>
      </c>
      <c r="B34" s="10" t="s">
        <v>379</v>
      </c>
      <c r="C34" s="10" t="s">
        <v>264</v>
      </c>
      <c r="D34" s="74">
        <f>'В-26,27'!G82</f>
        <v>304.5</v>
      </c>
      <c r="E34" s="74">
        <f>'В-26,27'!H82</f>
        <v>304.5</v>
      </c>
      <c r="F34" s="72"/>
    </row>
    <row r="35" spans="1:6" ht="18.75" hidden="1" x14ac:dyDescent="0.3">
      <c r="A35" s="12" t="s">
        <v>61</v>
      </c>
      <c r="B35" s="10" t="s">
        <v>379</v>
      </c>
      <c r="C35" s="10" t="s">
        <v>62</v>
      </c>
      <c r="D35" s="74">
        <f>'В-26,27'!G83</f>
        <v>0</v>
      </c>
      <c r="E35" s="74">
        <f>'В-26,27'!H83</f>
        <v>0</v>
      </c>
      <c r="F35" s="72"/>
    </row>
    <row r="36" spans="1:6" ht="37.5" hidden="1" x14ac:dyDescent="0.3">
      <c r="A36" s="80" t="s">
        <v>381</v>
      </c>
      <c r="B36" s="77" t="s">
        <v>500</v>
      </c>
      <c r="C36" s="77" t="s">
        <v>51</v>
      </c>
      <c r="D36" s="74">
        <f>D37</f>
        <v>0</v>
      </c>
      <c r="E36" s="74">
        <f>E37</f>
        <v>0</v>
      </c>
      <c r="F36" s="72"/>
    </row>
    <row r="37" spans="1:6" ht="18.75" hidden="1" x14ac:dyDescent="0.3">
      <c r="A37" s="76" t="s">
        <v>61</v>
      </c>
      <c r="B37" s="77" t="s">
        <v>500</v>
      </c>
      <c r="C37" s="77" t="s">
        <v>62</v>
      </c>
      <c r="D37" s="74">
        <v>0</v>
      </c>
      <c r="E37" s="74">
        <v>0</v>
      </c>
      <c r="F37" s="72"/>
    </row>
    <row r="38" spans="1:6" ht="18.75" x14ac:dyDescent="0.3">
      <c r="A38" s="12" t="s">
        <v>569</v>
      </c>
      <c r="B38" s="10" t="s">
        <v>571</v>
      </c>
      <c r="C38" s="10" t="s">
        <v>51</v>
      </c>
      <c r="D38" s="74">
        <f>D39</f>
        <v>6882.1</v>
      </c>
      <c r="E38" s="74">
        <f>E39</f>
        <v>6882.1</v>
      </c>
      <c r="F38" s="72"/>
    </row>
    <row r="39" spans="1:6" ht="37.5" x14ac:dyDescent="0.3">
      <c r="A39" s="12" t="s">
        <v>267</v>
      </c>
      <c r="B39" s="10" t="s">
        <v>571</v>
      </c>
      <c r="C39" s="10" t="s">
        <v>264</v>
      </c>
      <c r="D39" s="74">
        <f>'В-26,27'!G980</f>
        <v>6882.1</v>
      </c>
      <c r="E39" s="74">
        <f>'В-26,27'!H980</f>
        <v>6882.1</v>
      </c>
      <c r="F39" s="72"/>
    </row>
    <row r="40" spans="1:6" ht="18.75" x14ac:dyDescent="0.3">
      <c r="A40" s="12" t="s">
        <v>570</v>
      </c>
      <c r="B40" s="10" t="s">
        <v>572</v>
      </c>
      <c r="C40" s="10" t="s">
        <v>51</v>
      </c>
      <c r="D40" s="74">
        <f>D41+D42</f>
        <v>13989.2</v>
      </c>
      <c r="E40" s="74">
        <f>E41+E42</f>
        <v>13989.2</v>
      </c>
      <c r="F40" s="72"/>
    </row>
    <row r="41" spans="1:6" ht="37.5" x14ac:dyDescent="0.3">
      <c r="A41" s="12" t="s">
        <v>267</v>
      </c>
      <c r="B41" s="10" t="s">
        <v>572</v>
      </c>
      <c r="C41" s="10" t="s">
        <v>264</v>
      </c>
      <c r="D41" s="74">
        <f>'В-26,27'!G982+'В-26,27'!G1146</f>
        <v>13989.2</v>
      </c>
      <c r="E41" s="74">
        <f>'В-26,27'!H982+'В-26,27'!H1146</f>
        <v>13989.2</v>
      </c>
      <c r="F41" s="72"/>
    </row>
    <row r="42" spans="1:6" ht="37.5" hidden="1" x14ac:dyDescent="0.3">
      <c r="A42" s="2" t="s">
        <v>377</v>
      </c>
      <c r="B42" s="10" t="s">
        <v>573</v>
      </c>
      <c r="C42" s="10" t="s">
        <v>51</v>
      </c>
      <c r="D42" s="74">
        <f>D43</f>
        <v>0</v>
      </c>
      <c r="E42" s="74">
        <f>E43</f>
        <v>0</v>
      </c>
      <c r="F42" s="72"/>
    </row>
    <row r="43" spans="1:6" ht="37.5" hidden="1" x14ac:dyDescent="0.3">
      <c r="A43" s="12" t="s">
        <v>267</v>
      </c>
      <c r="B43" s="10" t="s">
        <v>573</v>
      </c>
      <c r="C43" s="10" t="s">
        <v>264</v>
      </c>
      <c r="D43" s="74">
        <f>'В-26,27'!G984</f>
        <v>0</v>
      </c>
      <c r="E43" s="74">
        <f>'В-26,27'!H984</f>
        <v>0</v>
      </c>
      <c r="F43" s="72"/>
    </row>
    <row r="44" spans="1:6" ht="18.75" x14ac:dyDescent="0.3">
      <c r="A44" s="12" t="s">
        <v>555</v>
      </c>
      <c r="B44" s="11" t="s">
        <v>614</v>
      </c>
      <c r="C44" s="10" t="s">
        <v>51</v>
      </c>
      <c r="D44" s="74">
        <f>D45+D46+D47</f>
        <v>8358.7999999999993</v>
      </c>
      <c r="E44" s="74">
        <f>E45+E46+E47</f>
        <v>8358.7999999999993</v>
      </c>
      <c r="F44" s="72"/>
    </row>
    <row r="45" spans="1:6" ht="75" x14ac:dyDescent="0.3">
      <c r="A45" s="12" t="s">
        <v>57</v>
      </c>
      <c r="B45" s="11" t="s">
        <v>614</v>
      </c>
      <c r="C45" s="11" t="s">
        <v>58</v>
      </c>
      <c r="D45" s="74">
        <f>'В-26,27'!G164</f>
        <v>7116.3</v>
      </c>
      <c r="E45" s="74">
        <f>'В-26,27'!H164</f>
        <v>7116.3</v>
      </c>
      <c r="F45" s="72"/>
    </row>
    <row r="46" spans="1:6" ht="37.5" x14ac:dyDescent="0.3">
      <c r="A46" s="12" t="s">
        <v>433</v>
      </c>
      <c r="B46" s="11" t="s">
        <v>614</v>
      </c>
      <c r="C46" s="11" t="s">
        <v>60</v>
      </c>
      <c r="D46" s="74">
        <f>'В-26,27'!G165</f>
        <v>1171.7</v>
      </c>
      <c r="E46" s="74">
        <f>'В-26,27'!H165</f>
        <v>1171.7</v>
      </c>
      <c r="F46" s="72"/>
    </row>
    <row r="47" spans="1:6" ht="18.75" x14ac:dyDescent="0.3">
      <c r="A47" s="12" t="s">
        <v>61</v>
      </c>
      <c r="B47" s="11" t="s">
        <v>614</v>
      </c>
      <c r="C47" s="11" t="s">
        <v>62</v>
      </c>
      <c r="D47" s="74">
        <f>'В-26,27'!G166</f>
        <v>70.8</v>
      </c>
      <c r="E47" s="74">
        <f>'В-26,27'!H166</f>
        <v>70.8</v>
      </c>
      <c r="F47" s="72"/>
    </row>
    <row r="48" spans="1:6" ht="34.5" hidden="1" customHeight="1" x14ac:dyDescent="0.3">
      <c r="A48" s="2" t="s">
        <v>377</v>
      </c>
      <c r="B48" s="11" t="s">
        <v>684</v>
      </c>
      <c r="C48" s="11" t="s">
        <v>51</v>
      </c>
      <c r="D48" s="74">
        <f>D50+D51</f>
        <v>0</v>
      </c>
      <c r="E48" s="74">
        <f>E50+E51</f>
        <v>0</v>
      </c>
      <c r="F48" s="72"/>
    </row>
    <row r="49" spans="1:6" ht="75" hidden="1" x14ac:dyDescent="0.3">
      <c r="A49" s="12" t="s">
        <v>57</v>
      </c>
      <c r="B49" s="11" t="s">
        <v>514</v>
      </c>
      <c r="C49" s="11" t="s">
        <v>58</v>
      </c>
      <c r="D49" s="74">
        <f>'[2]В-21'!G109</f>
        <v>0</v>
      </c>
      <c r="E49" s="74">
        <f>'[2]В-21'!H109</f>
        <v>0</v>
      </c>
      <c r="F49" s="72"/>
    </row>
    <row r="50" spans="1:6" ht="75" hidden="1" x14ac:dyDescent="0.3">
      <c r="A50" s="12" t="s">
        <v>57</v>
      </c>
      <c r="B50" s="11" t="s">
        <v>684</v>
      </c>
      <c r="C50" s="11" t="s">
        <v>58</v>
      </c>
      <c r="D50" s="74">
        <f>'В-26,27'!G168</f>
        <v>0</v>
      </c>
      <c r="E50" s="74">
        <f>'В-26,27'!H168</f>
        <v>0</v>
      </c>
      <c r="F50" s="72"/>
    </row>
    <row r="51" spans="1:6" ht="18.75" hidden="1" x14ac:dyDescent="0.3">
      <c r="A51" s="12" t="s">
        <v>61</v>
      </c>
      <c r="B51" s="11" t="s">
        <v>684</v>
      </c>
      <c r="C51" s="11" t="s">
        <v>62</v>
      </c>
      <c r="D51" s="74">
        <f>'В-26,27'!G169</f>
        <v>0</v>
      </c>
      <c r="E51" s="74">
        <f>'В-26,27'!H169</f>
        <v>0</v>
      </c>
      <c r="F51" s="72"/>
    </row>
    <row r="52" spans="1:6" ht="37.5" hidden="1" x14ac:dyDescent="0.3">
      <c r="A52" s="2" t="s">
        <v>381</v>
      </c>
      <c r="B52" s="11" t="s">
        <v>698</v>
      </c>
      <c r="C52" s="11" t="s">
        <v>51</v>
      </c>
      <c r="D52" s="74">
        <f>D53</f>
        <v>0</v>
      </c>
      <c r="E52" s="74">
        <f>E53</f>
        <v>0</v>
      </c>
      <c r="F52" s="72"/>
    </row>
    <row r="53" spans="1:6" ht="75" hidden="1" x14ac:dyDescent="0.3">
      <c r="A53" s="12" t="s">
        <v>57</v>
      </c>
      <c r="B53" s="11" t="s">
        <v>698</v>
      </c>
      <c r="C53" s="11" t="s">
        <v>58</v>
      </c>
      <c r="D53" s="74">
        <f>'В-26,27'!G171</f>
        <v>0</v>
      </c>
      <c r="E53" s="74">
        <f>'В-26,27'!H171</f>
        <v>0</v>
      </c>
      <c r="F53" s="72"/>
    </row>
    <row r="54" spans="1:6" ht="18.75" x14ac:dyDescent="0.3">
      <c r="A54" s="12" t="s">
        <v>83</v>
      </c>
      <c r="B54" s="11" t="s">
        <v>44</v>
      </c>
      <c r="C54" s="11" t="s">
        <v>51</v>
      </c>
      <c r="D54" s="74">
        <f>D55+D56+D57</f>
        <v>28389.200000000001</v>
      </c>
      <c r="E54" s="74">
        <f>E55+E56+E57</f>
        <v>28389.200000000001</v>
      </c>
      <c r="F54" s="72"/>
    </row>
    <row r="55" spans="1:6" ht="75" x14ac:dyDescent="0.3">
      <c r="A55" s="12" t="s">
        <v>57</v>
      </c>
      <c r="B55" s="11" t="s">
        <v>44</v>
      </c>
      <c r="C55" s="11" t="s">
        <v>58</v>
      </c>
      <c r="D55" s="74">
        <f>'В-26,27'!G254+'В-26,27'!G283+'В-26,27'!G301</f>
        <v>27638.9</v>
      </c>
      <c r="E55" s="74">
        <f>'В-26,27'!H254+'В-26,27'!H283+'В-26,27'!H301</f>
        <v>27638.9</v>
      </c>
      <c r="F55" s="72"/>
    </row>
    <row r="56" spans="1:6" ht="37.5" x14ac:dyDescent="0.3">
      <c r="A56" s="12" t="s">
        <v>433</v>
      </c>
      <c r="B56" s="11" t="s">
        <v>44</v>
      </c>
      <c r="C56" s="11" t="s">
        <v>60</v>
      </c>
      <c r="D56" s="74">
        <f>'В-26,27'!G255</f>
        <v>750.3</v>
      </c>
      <c r="E56" s="74">
        <f>'В-26,27'!H255</f>
        <v>750.3</v>
      </c>
      <c r="F56" s="72"/>
    </row>
    <row r="57" spans="1:6" ht="18.75" hidden="1" x14ac:dyDescent="0.3">
      <c r="A57" s="12" t="s">
        <v>176</v>
      </c>
      <c r="B57" s="11" t="s">
        <v>44</v>
      </c>
      <c r="C57" s="11" t="s">
        <v>177</v>
      </c>
      <c r="D57" s="74">
        <f>'В-26,27'!G256</f>
        <v>0</v>
      </c>
      <c r="E57" s="74">
        <f>'В-26,27'!H256</f>
        <v>0</v>
      </c>
      <c r="F57" s="72"/>
    </row>
    <row r="58" spans="1:6" ht="43.5" hidden="1" customHeight="1" x14ac:dyDescent="0.3">
      <c r="A58" s="2" t="s">
        <v>377</v>
      </c>
      <c r="B58" s="10" t="s">
        <v>516</v>
      </c>
      <c r="C58" s="10" t="s">
        <v>51</v>
      </c>
      <c r="D58" s="74">
        <f>D59</f>
        <v>0</v>
      </c>
      <c r="E58" s="74">
        <f>E59</f>
        <v>0</v>
      </c>
      <c r="F58" s="72"/>
    </row>
    <row r="59" spans="1:6" ht="75" hidden="1" x14ac:dyDescent="0.3">
      <c r="A59" s="12" t="s">
        <v>57</v>
      </c>
      <c r="B59" s="10" t="s">
        <v>516</v>
      </c>
      <c r="C59" s="10" t="s">
        <v>58</v>
      </c>
      <c r="D59" s="74">
        <f>'В-26,27'!G258+'В-26,27'!G285</f>
        <v>0</v>
      </c>
      <c r="E59" s="74">
        <f>'В-26,27'!H258+'В-26,27'!H285</f>
        <v>0</v>
      </c>
      <c r="F59" s="72"/>
    </row>
    <row r="60" spans="1:6" ht="37.5" hidden="1" x14ac:dyDescent="0.3">
      <c r="A60" s="64" t="s">
        <v>381</v>
      </c>
      <c r="B60" s="10" t="s">
        <v>513</v>
      </c>
      <c r="C60" s="10" t="s">
        <v>51</v>
      </c>
      <c r="D60" s="74">
        <f>D61</f>
        <v>0</v>
      </c>
      <c r="E60" s="74">
        <f>E61</f>
        <v>0</v>
      </c>
      <c r="F60" s="72"/>
    </row>
    <row r="61" spans="1:6" ht="75" hidden="1" x14ac:dyDescent="0.3">
      <c r="A61" s="12" t="s">
        <v>57</v>
      </c>
      <c r="B61" s="10" t="s">
        <v>513</v>
      </c>
      <c r="C61" s="10" t="s">
        <v>58</v>
      </c>
      <c r="D61" s="74">
        <f>'[2]В-21'!G170</f>
        <v>0</v>
      </c>
      <c r="E61" s="74">
        <f>'[2]В-21'!H170</f>
        <v>0</v>
      </c>
      <c r="F61" s="72"/>
    </row>
    <row r="62" spans="1:6" ht="18.75" x14ac:dyDescent="0.3">
      <c r="A62" s="12" t="s">
        <v>63</v>
      </c>
      <c r="B62" s="10" t="s">
        <v>64</v>
      </c>
      <c r="C62" s="10" t="s">
        <v>51</v>
      </c>
      <c r="D62" s="74">
        <f>D63+D66+D69+D71+D74+D77+D79+D81</f>
        <v>26019.199999999997</v>
      </c>
      <c r="E62" s="74">
        <f>E74+E79+E69+E81</f>
        <v>37619.199999999997</v>
      </c>
      <c r="F62" s="72"/>
    </row>
    <row r="63" spans="1:6" ht="18.75" hidden="1" x14ac:dyDescent="0.3">
      <c r="A63" s="12" t="s">
        <v>147</v>
      </c>
      <c r="B63" s="11" t="s">
        <v>149</v>
      </c>
      <c r="C63" s="10" t="s">
        <v>51</v>
      </c>
      <c r="D63" s="74">
        <f>D64+D65</f>
        <v>0</v>
      </c>
      <c r="E63" s="74">
        <f>E64+E65</f>
        <v>0</v>
      </c>
      <c r="F63" s="72"/>
    </row>
    <row r="64" spans="1:6" ht="37.5" hidden="1" x14ac:dyDescent="0.3">
      <c r="A64" s="12" t="s">
        <v>433</v>
      </c>
      <c r="B64" s="11" t="s">
        <v>149</v>
      </c>
      <c r="C64" s="11" t="s">
        <v>60</v>
      </c>
      <c r="D64" s="74">
        <f>'В-26,27'!G207</f>
        <v>0</v>
      </c>
      <c r="E64" s="74">
        <f>'В-26,27'!H207</f>
        <v>0</v>
      </c>
      <c r="F64" s="72"/>
    </row>
    <row r="65" spans="1:6" ht="18.75" hidden="1" x14ac:dyDescent="0.3">
      <c r="A65" s="12" t="s">
        <v>176</v>
      </c>
      <c r="B65" s="11" t="s">
        <v>149</v>
      </c>
      <c r="C65" s="11" t="s">
        <v>177</v>
      </c>
      <c r="D65" s="74">
        <f>'В-26,27'!G208</f>
        <v>0</v>
      </c>
      <c r="E65" s="74">
        <f>'В-26,27'!H208</f>
        <v>0</v>
      </c>
      <c r="F65" s="72"/>
    </row>
    <row r="66" spans="1:6" ht="67.5" hidden="1" customHeight="1" x14ac:dyDescent="0.3">
      <c r="A66" s="12" t="s">
        <v>544</v>
      </c>
      <c r="B66" s="10" t="s">
        <v>150</v>
      </c>
      <c r="C66" s="10" t="s">
        <v>51</v>
      </c>
      <c r="D66" s="74">
        <f>D67+D68</f>
        <v>0</v>
      </c>
      <c r="E66" s="74">
        <f>E67+E68</f>
        <v>0</v>
      </c>
      <c r="F66" s="72"/>
    </row>
    <row r="67" spans="1:6" ht="37.5" hidden="1" x14ac:dyDescent="0.3">
      <c r="A67" s="12" t="s">
        <v>433</v>
      </c>
      <c r="B67" s="10" t="s">
        <v>150</v>
      </c>
      <c r="C67" s="10" t="s">
        <v>60</v>
      </c>
      <c r="D67" s="74">
        <f>'В-26,27'!G96</f>
        <v>0</v>
      </c>
      <c r="E67" s="74">
        <f>'В-26,27'!H96</f>
        <v>0</v>
      </c>
      <c r="F67" s="72"/>
    </row>
    <row r="68" spans="1:6" ht="37.5" hidden="1" x14ac:dyDescent="0.3">
      <c r="A68" s="12" t="s">
        <v>267</v>
      </c>
      <c r="B68" s="10" t="s">
        <v>150</v>
      </c>
      <c r="C68" s="11" t="s">
        <v>264</v>
      </c>
      <c r="D68" s="74">
        <v>0</v>
      </c>
      <c r="E68" s="74">
        <v>0</v>
      </c>
      <c r="F68" s="72"/>
    </row>
    <row r="69" spans="1:6" ht="18.75" x14ac:dyDescent="0.3">
      <c r="A69" s="12" t="s">
        <v>76</v>
      </c>
      <c r="B69" s="10" t="s">
        <v>40</v>
      </c>
      <c r="C69" s="10" t="s">
        <v>51</v>
      </c>
      <c r="D69" s="74">
        <f>D70</f>
        <v>367</v>
      </c>
      <c r="E69" s="74">
        <f>E70</f>
        <v>367</v>
      </c>
      <c r="F69" s="72"/>
    </row>
    <row r="70" spans="1:6" ht="37.5" x14ac:dyDescent="0.3">
      <c r="A70" s="12" t="s">
        <v>433</v>
      </c>
      <c r="B70" s="10" t="s">
        <v>40</v>
      </c>
      <c r="C70" s="10" t="s">
        <v>60</v>
      </c>
      <c r="D70" s="74">
        <f>'В-26,27'!G98</f>
        <v>367</v>
      </c>
      <c r="E70" s="74">
        <f>'В-26,27'!H98</f>
        <v>367</v>
      </c>
      <c r="F70" s="72"/>
    </row>
    <row r="71" spans="1:6" ht="18.75" hidden="1" outlineLevel="1" x14ac:dyDescent="0.3">
      <c r="A71" s="12" t="s">
        <v>65</v>
      </c>
      <c r="B71" s="10" t="s">
        <v>66</v>
      </c>
      <c r="C71" s="10" t="s">
        <v>51</v>
      </c>
      <c r="D71" s="74">
        <f>D72+D73</f>
        <v>0</v>
      </c>
      <c r="E71" s="74">
        <f>E72+E73</f>
        <v>0</v>
      </c>
      <c r="F71" s="72"/>
    </row>
    <row r="72" spans="1:6" ht="18.75" hidden="1" outlineLevel="1" x14ac:dyDescent="0.3">
      <c r="A72" s="12" t="s">
        <v>59</v>
      </c>
      <c r="B72" s="10" t="s">
        <v>66</v>
      </c>
      <c r="C72" s="10" t="s">
        <v>60</v>
      </c>
      <c r="D72" s="74">
        <f>'В-26,27'!G54</f>
        <v>0</v>
      </c>
      <c r="E72" s="74">
        <f>'В-26,27'!H54</f>
        <v>0</v>
      </c>
      <c r="F72" s="72"/>
    </row>
    <row r="73" spans="1:6" ht="18.75" hidden="1" outlineLevel="1" x14ac:dyDescent="0.3">
      <c r="A73" s="12" t="s">
        <v>61</v>
      </c>
      <c r="B73" s="10" t="s">
        <v>66</v>
      </c>
      <c r="C73" s="10" t="s">
        <v>62</v>
      </c>
      <c r="D73" s="74">
        <f>'[2]В-21'!G83</f>
        <v>0</v>
      </c>
      <c r="E73" s="74">
        <f>'[2]В-21'!H83</f>
        <v>0</v>
      </c>
      <c r="F73" s="72"/>
    </row>
    <row r="74" spans="1:6" ht="18.75" collapsed="1" x14ac:dyDescent="0.3">
      <c r="A74" s="12" t="s">
        <v>67</v>
      </c>
      <c r="B74" s="10" t="s">
        <v>68</v>
      </c>
      <c r="C74" s="10" t="s">
        <v>51</v>
      </c>
      <c r="D74" s="74">
        <f>D75+D76</f>
        <v>25652.199999999997</v>
      </c>
      <c r="E74" s="74">
        <f>E76</f>
        <v>37252.199999999997</v>
      </c>
      <c r="F74" s="72"/>
    </row>
    <row r="75" spans="1:6" ht="75" hidden="1" x14ac:dyDescent="0.3">
      <c r="A75" s="12" t="s">
        <v>57</v>
      </c>
      <c r="B75" s="10" t="s">
        <v>68</v>
      </c>
      <c r="C75" s="10" t="s">
        <v>58</v>
      </c>
      <c r="D75" s="74">
        <f>'[2]В-21'!G53+'[2]В-21'!G213</f>
        <v>0</v>
      </c>
      <c r="E75" s="74">
        <f>'[2]В-21'!H53+'[2]В-21'!H213</f>
        <v>0</v>
      </c>
      <c r="F75" s="72"/>
    </row>
    <row r="76" spans="1:6" ht="37.5" x14ac:dyDescent="0.3">
      <c r="A76" s="12" t="s">
        <v>433</v>
      </c>
      <c r="B76" s="10" t="s">
        <v>68</v>
      </c>
      <c r="C76" s="10" t="s">
        <v>60</v>
      </c>
      <c r="D76" s="74">
        <f>'В-26,27'!G57</f>
        <v>25652.199999999997</v>
      </c>
      <c r="E76" s="74">
        <f>'В-26,27'!H57</f>
        <v>37252.199999999997</v>
      </c>
      <c r="F76" s="72"/>
    </row>
    <row r="77" spans="1:6" ht="18.75" hidden="1" x14ac:dyDescent="0.3">
      <c r="A77" s="33" t="s">
        <v>405</v>
      </c>
      <c r="B77" s="29" t="s">
        <v>416</v>
      </c>
      <c r="C77" s="29" t="s">
        <v>51</v>
      </c>
      <c r="D77" s="74">
        <f>D78</f>
        <v>0</v>
      </c>
      <c r="E77" s="74">
        <f>E78</f>
        <v>0</v>
      </c>
      <c r="F77" s="72"/>
    </row>
    <row r="78" spans="1:6" ht="37.5" hidden="1" x14ac:dyDescent="0.3">
      <c r="A78" s="12" t="s">
        <v>433</v>
      </c>
      <c r="B78" s="29" t="s">
        <v>416</v>
      </c>
      <c r="C78" s="29" t="s">
        <v>60</v>
      </c>
      <c r="D78" s="74">
        <f>'[2]В-21'!G26</f>
        <v>0</v>
      </c>
      <c r="E78" s="74">
        <f>'[2]В-21'!H26</f>
        <v>0</v>
      </c>
      <c r="F78" s="72"/>
    </row>
    <row r="79" spans="1:6" ht="18.75" hidden="1" x14ac:dyDescent="0.3">
      <c r="A79" s="33" t="s">
        <v>405</v>
      </c>
      <c r="B79" s="29" t="s">
        <v>416</v>
      </c>
      <c r="C79" s="10" t="s">
        <v>51</v>
      </c>
      <c r="D79" s="74">
        <f>D80</f>
        <v>0</v>
      </c>
      <c r="E79" s="74">
        <f>E80</f>
        <v>0</v>
      </c>
      <c r="F79" s="72"/>
    </row>
    <row r="80" spans="1:6" ht="37.5" hidden="1" x14ac:dyDescent="0.3">
      <c r="A80" s="12" t="s">
        <v>433</v>
      </c>
      <c r="B80" s="29" t="s">
        <v>416</v>
      </c>
      <c r="C80" s="10" t="s">
        <v>60</v>
      </c>
      <c r="D80" s="74">
        <f>'В-26,27'!G26</f>
        <v>0</v>
      </c>
      <c r="E80" s="74">
        <f>'В-26,27'!H26</f>
        <v>0</v>
      </c>
      <c r="F80" s="72"/>
    </row>
    <row r="81" spans="1:6" ht="37.5" x14ac:dyDescent="0.3">
      <c r="A81" s="12" t="s">
        <v>753</v>
      </c>
      <c r="B81" s="11" t="s">
        <v>499</v>
      </c>
      <c r="C81" s="10" t="s">
        <v>51</v>
      </c>
      <c r="D81" s="74">
        <f>D82</f>
        <v>0</v>
      </c>
      <c r="E81" s="74">
        <f>E82</f>
        <v>0</v>
      </c>
      <c r="F81" s="72"/>
    </row>
    <row r="82" spans="1:6" ht="37.5" x14ac:dyDescent="0.3">
      <c r="A82" s="12" t="s">
        <v>267</v>
      </c>
      <c r="B82" s="11" t="s">
        <v>499</v>
      </c>
      <c r="C82" s="11" t="s">
        <v>264</v>
      </c>
      <c r="D82" s="74">
        <f>'В-26,27'!G177</f>
        <v>0</v>
      </c>
      <c r="E82" s="74">
        <f>'В-26,27'!H177</f>
        <v>0</v>
      </c>
      <c r="F82" s="72"/>
    </row>
    <row r="83" spans="1:6" ht="56.25" hidden="1" x14ac:dyDescent="0.3">
      <c r="A83" s="69" t="s">
        <v>501</v>
      </c>
      <c r="B83" s="10" t="s">
        <v>703</v>
      </c>
      <c r="C83" s="10" t="s">
        <v>51</v>
      </c>
      <c r="D83" s="74">
        <f>D84</f>
        <v>0</v>
      </c>
      <c r="E83" s="74">
        <f>E84</f>
        <v>0</v>
      </c>
      <c r="F83" s="72"/>
    </row>
    <row r="84" spans="1:6" ht="18.75" hidden="1" x14ac:dyDescent="0.3">
      <c r="A84" s="12" t="s">
        <v>61</v>
      </c>
      <c r="B84" s="10" t="s">
        <v>703</v>
      </c>
      <c r="C84" s="10" t="s">
        <v>62</v>
      </c>
      <c r="D84" s="74">
        <f>'В-26,27'!G59</f>
        <v>0</v>
      </c>
      <c r="E84" s="74">
        <f>'В-26,27'!H59</f>
        <v>0</v>
      </c>
      <c r="F84" s="72"/>
    </row>
    <row r="85" spans="1:6" ht="56.25" hidden="1" x14ac:dyDescent="0.3">
      <c r="A85" s="4" t="s">
        <v>252</v>
      </c>
      <c r="B85" s="10" t="s">
        <v>711</v>
      </c>
      <c r="C85" s="10" t="s">
        <v>51</v>
      </c>
      <c r="D85" s="74">
        <f>D86+D88</f>
        <v>0</v>
      </c>
      <c r="E85" s="74">
        <f>E86+E88</f>
        <v>0</v>
      </c>
      <c r="F85" s="72"/>
    </row>
    <row r="86" spans="1:6" ht="75" hidden="1" x14ac:dyDescent="0.3">
      <c r="A86" s="12" t="s">
        <v>706</v>
      </c>
      <c r="B86" s="10" t="s">
        <v>707</v>
      </c>
      <c r="C86" s="10" t="s">
        <v>51</v>
      </c>
      <c r="D86" s="74">
        <f>D87</f>
        <v>0</v>
      </c>
      <c r="E86" s="74">
        <f>E87</f>
        <v>0</v>
      </c>
      <c r="F86" s="72"/>
    </row>
    <row r="87" spans="1:6" ht="37.5" hidden="1" x14ac:dyDescent="0.3">
      <c r="A87" s="12" t="s">
        <v>267</v>
      </c>
      <c r="B87" s="10" t="s">
        <v>707</v>
      </c>
      <c r="C87" s="10" t="s">
        <v>264</v>
      </c>
      <c r="D87" s="74">
        <f>'В-26,27'!G86</f>
        <v>0</v>
      </c>
      <c r="E87" s="74">
        <f>'В-26,27'!H86</f>
        <v>0</v>
      </c>
      <c r="F87" s="72"/>
    </row>
    <row r="88" spans="1:6" ht="93.75" hidden="1" x14ac:dyDescent="0.3">
      <c r="A88" s="12" t="s">
        <v>425</v>
      </c>
      <c r="B88" s="10" t="s">
        <v>426</v>
      </c>
      <c r="C88" s="10" t="s">
        <v>51</v>
      </c>
      <c r="D88" s="74">
        <f>D89</f>
        <v>0</v>
      </c>
      <c r="E88" s="74">
        <f>E89</f>
        <v>0</v>
      </c>
      <c r="F88" s="72"/>
    </row>
    <row r="89" spans="1:6" ht="37.5" hidden="1" x14ac:dyDescent="0.3">
      <c r="A89" s="12" t="s">
        <v>267</v>
      </c>
      <c r="B89" s="10" t="s">
        <v>426</v>
      </c>
      <c r="C89" s="10" t="s">
        <v>264</v>
      </c>
      <c r="D89" s="74">
        <f>'В-26,27'!G88</f>
        <v>0</v>
      </c>
      <c r="E89" s="74">
        <f>'В-26,27'!H88</f>
        <v>0</v>
      </c>
      <c r="F89" s="72"/>
    </row>
    <row r="90" spans="1:6" ht="24" hidden="1" customHeight="1" x14ac:dyDescent="0.3">
      <c r="A90" s="88" t="s">
        <v>696</v>
      </c>
      <c r="B90" s="10" t="s">
        <v>697</v>
      </c>
      <c r="C90" s="10" t="s">
        <v>51</v>
      </c>
      <c r="D90" s="74">
        <f t="shared" ref="D90:E93" si="0">D91</f>
        <v>0</v>
      </c>
      <c r="E90" s="74">
        <f t="shared" si="0"/>
        <v>0</v>
      </c>
      <c r="F90" s="72"/>
    </row>
    <row r="91" spans="1:6" ht="18.75" hidden="1" x14ac:dyDescent="0.3">
      <c r="A91" s="88" t="s">
        <v>700</v>
      </c>
      <c r="B91" s="10" t="s">
        <v>701</v>
      </c>
      <c r="C91" s="10" t="s">
        <v>51</v>
      </c>
      <c r="D91" s="74">
        <f t="shared" si="0"/>
        <v>0</v>
      </c>
      <c r="E91" s="74">
        <f t="shared" si="0"/>
        <v>0</v>
      </c>
      <c r="F91" s="72"/>
    </row>
    <row r="92" spans="1:6" ht="56.25" hidden="1" x14ac:dyDescent="0.3">
      <c r="A92" s="4" t="s">
        <v>252</v>
      </c>
      <c r="B92" s="10" t="s">
        <v>702</v>
      </c>
      <c r="C92" s="10" t="s">
        <v>51</v>
      </c>
      <c r="D92" s="74">
        <f t="shared" si="0"/>
        <v>0</v>
      </c>
      <c r="E92" s="74">
        <f t="shared" si="0"/>
        <v>0</v>
      </c>
      <c r="F92" s="72"/>
    </row>
    <row r="93" spans="1:6" ht="93.75" hidden="1" x14ac:dyDescent="0.3">
      <c r="A93" s="12" t="s">
        <v>685</v>
      </c>
      <c r="B93" s="10" t="s">
        <v>686</v>
      </c>
      <c r="C93" s="10" t="s">
        <v>51</v>
      </c>
      <c r="D93" s="74">
        <f t="shared" si="0"/>
        <v>0</v>
      </c>
      <c r="E93" s="74">
        <f t="shared" si="0"/>
        <v>0</v>
      </c>
      <c r="F93" s="72"/>
    </row>
    <row r="94" spans="1:6" ht="37.5" hidden="1" x14ac:dyDescent="0.3">
      <c r="A94" s="12" t="s">
        <v>433</v>
      </c>
      <c r="B94" s="10" t="s">
        <v>686</v>
      </c>
      <c r="C94" s="10" t="s">
        <v>60</v>
      </c>
      <c r="D94" s="74">
        <f>'В-26,27'!G106</f>
        <v>0</v>
      </c>
      <c r="E94" s="74">
        <f>'В-26,27'!H106</f>
        <v>0</v>
      </c>
      <c r="F94" s="72"/>
    </row>
    <row r="95" spans="1:6" ht="93.75" hidden="1" x14ac:dyDescent="0.3">
      <c r="A95" s="12" t="s">
        <v>699</v>
      </c>
      <c r="B95" s="10" t="s">
        <v>704</v>
      </c>
      <c r="C95" s="10" t="s">
        <v>51</v>
      </c>
      <c r="D95" s="74">
        <f>D96</f>
        <v>0</v>
      </c>
      <c r="E95" s="74">
        <f>E96</f>
        <v>0</v>
      </c>
      <c r="F95" s="72"/>
    </row>
    <row r="96" spans="1:6" ht="37.5" hidden="1" x14ac:dyDescent="0.3">
      <c r="A96" s="12" t="s">
        <v>433</v>
      </c>
      <c r="B96" s="10" t="s">
        <v>704</v>
      </c>
      <c r="C96" s="10" t="s">
        <v>60</v>
      </c>
      <c r="D96" s="74">
        <f>'В-26,27'!G108</f>
        <v>0</v>
      </c>
      <c r="E96" s="74">
        <f>'В-26,27'!H108</f>
        <v>0</v>
      </c>
      <c r="F96" s="72"/>
    </row>
    <row r="97" spans="1:6" ht="68.25" customHeight="1" x14ac:dyDescent="0.3">
      <c r="A97" s="4" t="s">
        <v>174</v>
      </c>
      <c r="B97" s="10" t="s">
        <v>772</v>
      </c>
      <c r="C97" s="10" t="s">
        <v>51</v>
      </c>
      <c r="D97" s="74">
        <f>D98</f>
        <v>519.70000000000005</v>
      </c>
      <c r="E97" s="74">
        <f>E98</f>
        <v>519.70000000000005</v>
      </c>
      <c r="F97" s="72"/>
    </row>
    <row r="98" spans="1:6" ht="112.5" x14ac:dyDescent="0.3">
      <c r="A98" s="12" t="s">
        <v>527</v>
      </c>
      <c r="B98" s="10" t="s">
        <v>773</v>
      </c>
      <c r="C98" s="10" t="s">
        <v>51</v>
      </c>
      <c r="D98" s="74">
        <f>D100+D99+D103</f>
        <v>519.70000000000005</v>
      </c>
      <c r="E98" s="74">
        <f>E100+E99+E103</f>
        <v>519.70000000000005</v>
      </c>
      <c r="F98" s="72"/>
    </row>
    <row r="99" spans="1:6" ht="75" x14ac:dyDescent="0.3">
      <c r="A99" s="12" t="s">
        <v>57</v>
      </c>
      <c r="B99" s="10" t="s">
        <v>773</v>
      </c>
      <c r="C99" s="10" t="s">
        <v>58</v>
      </c>
      <c r="D99" s="74">
        <f>'В-26,27'!G91</f>
        <v>519.70000000000005</v>
      </c>
      <c r="E99" s="74">
        <f>'В-26,27'!H91</f>
        <v>519.70000000000005</v>
      </c>
      <c r="F99" s="72"/>
    </row>
    <row r="100" spans="1:6" ht="37.5" hidden="1" x14ac:dyDescent="0.3">
      <c r="A100" s="12" t="s">
        <v>433</v>
      </c>
      <c r="B100" s="10" t="s">
        <v>526</v>
      </c>
      <c r="C100" s="10" t="s">
        <v>60</v>
      </c>
      <c r="D100" s="74">
        <f>'В-26,27'!G92</f>
        <v>0</v>
      </c>
      <c r="E100" s="74">
        <f>'В-26,27'!H92</f>
        <v>0</v>
      </c>
      <c r="F100" s="72"/>
    </row>
    <row r="101" spans="1:6" ht="93.75" hidden="1" x14ac:dyDescent="0.3">
      <c r="A101" s="12" t="s">
        <v>425</v>
      </c>
      <c r="B101" s="10" t="s">
        <v>426</v>
      </c>
      <c r="C101" s="10" t="s">
        <v>51</v>
      </c>
      <c r="D101" s="74">
        <f>D102</f>
        <v>0</v>
      </c>
      <c r="E101" s="74">
        <f>E102</f>
        <v>0</v>
      </c>
      <c r="F101" s="72"/>
    </row>
    <row r="102" spans="1:6" ht="37.5" hidden="1" x14ac:dyDescent="0.3">
      <c r="A102" s="12" t="s">
        <v>433</v>
      </c>
      <c r="B102" s="10" t="s">
        <v>426</v>
      </c>
      <c r="C102" s="10" t="s">
        <v>60</v>
      </c>
      <c r="D102" s="74">
        <f>'[2]В-21'!G88</f>
        <v>0</v>
      </c>
      <c r="E102" s="74">
        <f>'[2]В-21'!H88</f>
        <v>0</v>
      </c>
      <c r="F102" s="72"/>
    </row>
    <row r="103" spans="1:6" ht="37.5" hidden="1" x14ac:dyDescent="0.3">
      <c r="A103" s="12" t="s">
        <v>267</v>
      </c>
      <c r="B103" s="10" t="s">
        <v>526</v>
      </c>
      <c r="C103" s="10" t="s">
        <v>264</v>
      </c>
      <c r="D103" s="74">
        <f>'В-26,27'!G93</f>
        <v>0</v>
      </c>
      <c r="E103" s="74">
        <f>'В-26,27'!H93</f>
        <v>0</v>
      </c>
      <c r="F103" s="72"/>
    </row>
    <row r="104" spans="1:6" ht="18.75" x14ac:dyDescent="0.3">
      <c r="A104" s="12" t="s">
        <v>69</v>
      </c>
      <c r="B104" s="10" t="s">
        <v>770</v>
      </c>
      <c r="C104" s="10" t="s">
        <v>51</v>
      </c>
      <c r="D104" s="74">
        <f>D105+D110+D115</f>
        <v>334326.5</v>
      </c>
      <c r="E104" s="74">
        <f>E105+E110+E115</f>
        <v>334326.5</v>
      </c>
      <c r="F104" s="72"/>
    </row>
    <row r="105" spans="1:6" ht="75" x14ac:dyDescent="0.3">
      <c r="A105" s="12" t="s">
        <v>77</v>
      </c>
      <c r="B105" s="10" t="s">
        <v>774</v>
      </c>
      <c r="C105" s="10" t="s">
        <v>51</v>
      </c>
      <c r="D105" s="74">
        <f>D106+D107+D108+D109</f>
        <v>193227</v>
      </c>
      <c r="E105" s="74">
        <f>E106+E107+E108+E109</f>
        <v>193227</v>
      </c>
      <c r="F105" s="72"/>
    </row>
    <row r="106" spans="1:6" ht="75" x14ac:dyDescent="0.3">
      <c r="A106" s="12" t="s">
        <v>57</v>
      </c>
      <c r="B106" s="10" t="s">
        <v>774</v>
      </c>
      <c r="C106" s="10" t="s">
        <v>58</v>
      </c>
      <c r="D106" s="74">
        <f>'В-26,27'!G111+'В-26,27'!G307</f>
        <v>151264</v>
      </c>
      <c r="E106" s="74">
        <f>'В-26,27'!H111</f>
        <v>151264</v>
      </c>
      <c r="F106" s="72"/>
    </row>
    <row r="107" spans="1:6" ht="37.5" x14ac:dyDescent="0.3">
      <c r="A107" s="12" t="s">
        <v>433</v>
      </c>
      <c r="B107" s="10" t="s">
        <v>774</v>
      </c>
      <c r="C107" s="10" t="s">
        <v>60</v>
      </c>
      <c r="D107" s="74">
        <f>'В-26,27'!G112</f>
        <v>1973</v>
      </c>
      <c r="E107" s="74">
        <f>'В-26,27'!H112</f>
        <v>1973</v>
      </c>
      <c r="F107" s="72"/>
    </row>
    <row r="108" spans="1:6" ht="37.5" x14ac:dyDescent="0.3">
      <c r="A108" s="12" t="s">
        <v>267</v>
      </c>
      <c r="B108" s="10" t="s">
        <v>774</v>
      </c>
      <c r="C108" s="10" t="s">
        <v>264</v>
      </c>
      <c r="D108" s="74">
        <f>'В-26,27'!G114</f>
        <v>39990</v>
      </c>
      <c r="E108" s="74">
        <f>'В-26,27'!H114</f>
        <v>39990</v>
      </c>
      <c r="F108" s="72"/>
    </row>
    <row r="109" spans="1:6" ht="18.75" hidden="1" x14ac:dyDescent="0.3">
      <c r="A109" s="12" t="s">
        <v>61</v>
      </c>
      <c r="B109" s="10" t="s">
        <v>41</v>
      </c>
      <c r="C109" s="10" t="s">
        <v>62</v>
      </c>
      <c r="D109" s="74">
        <f>'В-26,27'!G115</f>
        <v>0</v>
      </c>
      <c r="E109" s="74">
        <f>'В-26,27'!H115</f>
        <v>0</v>
      </c>
      <c r="F109" s="72"/>
    </row>
    <row r="110" spans="1:6" ht="56.25" x14ac:dyDescent="0.3">
      <c r="A110" s="12" t="s">
        <v>71</v>
      </c>
      <c r="B110" s="10" t="s">
        <v>771</v>
      </c>
      <c r="C110" s="10" t="s">
        <v>51</v>
      </c>
      <c r="D110" s="74">
        <f>D111+D112+D114+D113</f>
        <v>141099.50000000003</v>
      </c>
      <c r="E110" s="74">
        <f>E111+E112</f>
        <v>141099.50000000003</v>
      </c>
      <c r="F110" s="72"/>
    </row>
    <row r="111" spans="1:6" ht="75" x14ac:dyDescent="0.3">
      <c r="A111" s="12" t="s">
        <v>57</v>
      </c>
      <c r="B111" s="10" t="s">
        <v>771</v>
      </c>
      <c r="C111" s="10" t="s">
        <v>58</v>
      </c>
      <c r="D111" s="74">
        <f>'В-26,27'!G62+'В-26,27'!G309</f>
        <v>139550.30000000002</v>
      </c>
      <c r="E111" s="74">
        <f>'В-26,27'!H62+'В-26,27'!H309</f>
        <v>139550.30000000002</v>
      </c>
      <c r="F111" s="72"/>
    </row>
    <row r="112" spans="1:6" ht="37.5" x14ac:dyDescent="0.3">
      <c r="A112" s="12" t="s">
        <v>433</v>
      </c>
      <c r="B112" s="10" t="s">
        <v>771</v>
      </c>
      <c r="C112" s="10" t="s">
        <v>60</v>
      </c>
      <c r="D112" s="74">
        <f>'В-26,27'!G63</f>
        <v>1549.2</v>
      </c>
      <c r="E112" s="74">
        <f>'В-26,27'!H63</f>
        <v>1549.2</v>
      </c>
      <c r="F112" s="72"/>
    </row>
    <row r="113" spans="1:6" ht="18.75" hidden="1" x14ac:dyDescent="0.3">
      <c r="A113" s="12" t="s">
        <v>176</v>
      </c>
      <c r="B113" s="10" t="s">
        <v>72</v>
      </c>
      <c r="C113" s="10" t="s">
        <v>177</v>
      </c>
      <c r="D113" s="74">
        <f>'В-26,27'!G64</f>
        <v>0</v>
      </c>
      <c r="E113" s="74">
        <f>'В-26,27'!H64</f>
        <v>0</v>
      </c>
      <c r="F113" s="72"/>
    </row>
    <row r="114" spans="1:6" ht="18.75" hidden="1" x14ac:dyDescent="0.3">
      <c r="A114" s="12" t="s">
        <v>61</v>
      </c>
      <c r="B114" s="10" t="s">
        <v>72</v>
      </c>
      <c r="C114" s="10" t="s">
        <v>62</v>
      </c>
      <c r="D114" s="74">
        <f>'[2]В-21'!G60</f>
        <v>0</v>
      </c>
      <c r="E114" s="74">
        <f>'[2]В-21'!H60</f>
        <v>0</v>
      </c>
      <c r="F114" s="72"/>
    </row>
    <row r="115" spans="1:6" ht="61.5" hidden="1" customHeight="1" x14ac:dyDescent="0.3">
      <c r="A115" s="13" t="s">
        <v>133</v>
      </c>
      <c r="B115" s="14" t="s">
        <v>42</v>
      </c>
      <c r="C115" s="14" t="s">
        <v>51</v>
      </c>
      <c r="D115" s="74">
        <f>D116</f>
        <v>0</v>
      </c>
      <c r="E115" s="74">
        <f>E116</f>
        <v>0</v>
      </c>
      <c r="F115" s="72"/>
    </row>
    <row r="116" spans="1:6" ht="75" hidden="1" x14ac:dyDescent="0.3">
      <c r="A116" s="12" t="s">
        <v>57</v>
      </c>
      <c r="B116" s="10" t="s">
        <v>42</v>
      </c>
      <c r="C116" s="10" t="s">
        <v>58</v>
      </c>
      <c r="D116" s="74">
        <f>'В-26,27'!G117</f>
        <v>0</v>
      </c>
      <c r="E116" s="74">
        <f>'В-26,27'!H117</f>
        <v>0</v>
      </c>
      <c r="F116" s="72"/>
    </row>
    <row r="117" spans="1:6" ht="37.5" x14ac:dyDescent="0.3">
      <c r="A117" s="124" t="s">
        <v>767</v>
      </c>
      <c r="B117" s="10" t="s">
        <v>775</v>
      </c>
      <c r="C117" s="10" t="s">
        <v>51</v>
      </c>
      <c r="D117" s="74">
        <f>D118+D119</f>
        <v>1408.2</v>
      </c>
      <c r="E117" s="74">
        <f>E118+E119</f>
        <v>1408.2</v>
      </c>
      <c r="F117" s="72"/>
    </row>
    <row r="118" spans="1:6" ht="37.5" x14ac:dyDescent="0.3">
      <c r="A118" s="124" t="s">
        <v>433</v>
      </c>
      <c r="B118" s="10" t="s">
        <v>775</v>
      </c>
      <c r="C118" s="10" t="s">
        <v>60</v>
      </c>
      <c r="D118" s="74">
        <f>'В-26,27'!G119</f>
        <v>704.1</v>
      </c>
      <c r="E118" s="74">
        <f>'В-26,27'!H119</f>
        <v>704.1</v>
      </c>
      <c r="F118" s="72"/>
    </row>
    <row r="119" spans="1:6" ht="37.5" x14ac:dyDescent="0.3">
      <c r="A119" s="124" t="s">
        <v>267</v>
      </c>
      <c r="B119" s="10" t="s">
        <v>775</v>
      </c>
      <c r="C119" s="10" t="s">
        <v>264</v>
      </c>
      <c r="D119" s="74">
        <f>'В-26,27'!G120</f>
        <v>704.1</v>
      </c>
      <c r="E119" s="74">
        <f>'В-26,27'!H120</f>
        <v>704.1</v>
      </c>
      <c r="F119" s="72"/>
    </row>
    <row r="120" spans="1:6" ht="75" x14ac:dyDescent="0.3">
      <c r="A120" s="124" t="s">
        <v>878</v>
      </c>
      <c r="B120" s="10" t="s">
        <v>879</v>
      </c>
      <c r="C120" s="10" t="s">
        <v>51</v>
      </c>
      <c r="D120" s="74">
        <f>D121+D122</f>
        <v>539.1</v>
      </c>
      <c r="E120" s="74">
        <f>E121+E122</f>
        <v>539.1</v>
      </c>
      <c r="F120" s="72"/>
    </row>
    <row r="121" spans="1:6" ht="75" x14ac:dyDescent="0.3">
      <c r="A121" s="124" t="s">
        <v>57</v>
      </c>
      <c r="B121" s="10" t="s">
        <v>879</v>
      </c>
      <c r="C121" s="10" t="s">
        <v>58</v>
      </c>
      <c r="D121" s="74">
        <f>'В-26,27'!G122</f>
        <v>449.25</v>
      </c>
      <c r="E121" s="74">
        <f>'В-26,27'!H122</f>
        <v>449.25</v>
      </c>
      <c r="F121" s="72"/>
    </row>
    <row r="122" spans="1:6" ht="37.5" x14ac:dyDescent="0.3">
      <c r="A122" s="12" t="s">
        <v>267</v>
      </c>
      <c r="B122" s="10" t="s">
        <v>879</v>
      </c>
      <c r="C122" s="10" t="s">
        <v>264</v>
      </c>
      <c r="D122" s="74">
        <f>'В-26,27'!G123</f>
        <v>89.85</v>
      </c>
      <c r="E122" s="74">
        <f>'В-26,27'!H123</f>
        <v>89.85</v>
      </c>
      <c r="F122" s="72"/>
    </row>
    <row r="123" spans="1:6" ht="56.25" customHeight="1" x14ac:dyDescent="0.3">
      <c r="A123" s="12" t="s">
        <v>485</v>
      </c>
      <c r="B123" s="10" t="s">
        <v>776</v>
      </c>
      <c r="C123" s="10" t="s">
        <v>51</v>
      </c>
      <c r="D123" s="74">
        <f>D124+D125</f>
        <v>24975</v>
      </c>
      <c r="E123" s="74">
        <f>E124+E125</f>
        <v>24975</v>
      </c>
      <c r="F123" s="72"/>
    </row>
    <row r="124" spans="1:6" ht="75" x14ac:dyDescent="0.3">
      <c r="A124" s="12" t="s">
        <v>57</v>
      </c>
      <c r="B124" s="10" t="s">
        <v>776</v>
      </c>
      <c r="C124" s="10" t="s">
        <v>58</v>
      </c>
      <c r="D124" s="74">
        <f>'В-26,27'!G125</f>
        <v>19764.400000000001</v>
      </c>
      <c r="E124" s="74">
        <f>'В-26,27'!H125</f>
        <v>19764.400000000001</v>
      </c>
      <c r="F124" s="72"/>
    </row>
    <row r="125" spans="1:6" ht="37.5" x14ac:dyDescent="0.3">
      <c r="A125" s="12" t="s">
        <v>267</v>
      </c>
      <c r="B125" s="10" t="s">
        <v>776</v>
      </c>
      <c r="C125" s="10" t="s">
        <v>264</v>
      </c>
      <c r="D125" s="74">
        <f>'В-26,27'!G126</f>
        <v>5210.6000000000004</v>
      </c>
      <c r="E125" s="74">
        <f>'В-26,27'!H126</f>
        <v>5210.6000000000004</v>
      </c>
      <c r="F125" s="72"/>
    </row>
    <row r="126" spans="1:6" ht="56.25" x14ac:dyDescent="0.3">
      <c r="A126" s="12" t="s">
        <v>675</v>
      </c>
      <c r="B126" s="10" t="s">
        <v>777</v>
      </c>
      <c r="C126" s="10" t="s">
        <v>51</v>
      </c>
      <c r="D126" s="74">
        <f>D127+D128</f>
        <v>14725</v>
      </c>
      <c r="E126" s="74">
        <f>E127+E128</f>
        <v>13784</v>
      </c>
      <c r="F126" s="72"/>
    </row>
    <row r="127" spans="1:6" ht="37.5" x14ac:dyDescent="0.3">
      <c r="A127" s="12" t="s">
        <v>433</v>
      </c>
      <c r="B127" s="10" t="s">
        <v>777</v>
      </c>
      <c r="C127" s="10" t="s">
        <v>60</v>
      </c>
      <c r="D127" s="74">
        <f>'В-26,27'!G128</f>
        <v>11082.199999999999</v>
      </c>
      <c r="E127" s="74">
        <f>'В-26,27'!H128</f>
        <v>10393</v>
      </c>
      <c r="F127" s="72"/>
    </row>
    <row r="128" spans="1:6" ht="37.5" x14ac:dyDescent="0.3">
      <c r="A128" s="12" t="s">
        <v>267</v>
      </c>
      <c r="B128" s="10" t="s">
        <v>777</v>
      </c>
      <c r="C128" s="10" t="s">
        <v>264</v>
      </c>
      <c r="D128" s="74">
        <f>'В-26,27'!G129</f>
        <v>3642.8</v>
      </c>
      <c r="E128" s="74">
        <f>'В-26,27'!H129</f>
        <v>3391</v>
      </c>
      <c r="F128" s="72"/>
    </row>
    <row r="129" spans="1:6" ht="37.5" hidden="1" x14ac:dyDescent="0.3">
      <c r="A129" s="99" t="s">
        <v>696</v>
      </c>
      <c r="B129" s="10" t="s">
        <v>697</v>
      </c>
      <c r="C129" s="10" t="s">
        <v>51</v>
      </c>
      <c r="D129" s="74">
        <f>D130</f>
        <v>0</v>
      </c>
      <c r="E129" s="74">
        <f>E130</f>
        <v>0</v>
      </c>
      <c r="F129" s="72"/>
    </row>
    <row r="130" spans="1:6" ht="18.75" hidden="1" x14ac:dyDescent="0.3">
      <c r="A130" s="98" t="s">
        <v>748</v>
      </c>
      <c r="B130" s="10" t="s">
        <v>746</v>
      </c>
      <c r="C130" s="10" t="s">
        <v>51</v>
      </c>
      <c r="D130" s="74">
        <f>D131</f>
        <v>0</v>
      </c>
      <c r="E130" s="74">
        <f>E131</f>
        <v>0</v>
      </c>
      <c r="F130" s="72"/>
    </row>
    <row r="131" spans="1:6" ht="56.25" hidden="1" x14ac:dyDescent="0.3">
      <c r="A131" s="98" t="s">
        <v>749</v>
      </c>
      <c r="B131" s="10" t="s">
        <v>747</v>
      </c>
      <c r="C131" s="10" t="s">
        <v>51</v>
      </c>
      <c r="D131" s="74">
        <f>D132+D133</f>
        <v>0</v>
      </c>
      <c r="E131" s="74">
        <f>E132+E133</f>
        <v>0</v>
      </c>
      <c r="F131" s="72"/>
    </row>
    <row r="132" spans="1:6" ht="37.5" hidden="1" x14ac:dyDescent="0.3">
      <c r="A132" s="12" t="s">
        <v>433</v>
      </c>
      <c r="B132" s="10" t="s">
        <v>747</v>
      </c>
      <c r="C132" s="10" t="s">
        <v>60</v>
      </c>
      <c r="D132" s="74">
        <f>'В-26,27'!G139</f>
        <v>0</v>
      </c>
      <c r="E132" s="74">
        <f>'В-26,27'!H139</f>
        <v>0</v>
      </c>
      <c r="F132" s="72"/>
    </row>
    <row r="133" spans="1:6" ht="37.5" hidden="1" x14ac:dyDescent="0.3">
      <c r="A133" s="12" t="s">
        <v>267</v>
      </c>
      <c r="B133" s="91" t="s">
        <v>747</v>
      </c>
      <c r="C133" s="10" t="s">
        <v>264</v>
      </c>
      <c r="D133" s="74">
        <f>'В-26,27'!G140</f>
        <v>0</v>
      </c>
      <c r="E133" s="74">
        <f>'В-26,27'!H140</f>
        <v>0</v>
      </c>
      <c r="F133" s="72"/>
    </row>
    <row r="134" spans="1:6" ht="37.5" hidden="1" x14ac:dyDescent="0.3">
      <c r="A134" s="4" t="s">
        <v>696</v>
      </c>
      <c r="B134" s="10" t="s">
        <v>758</v>
      </c>
      <c r="C134" s="10" t="s">
        <v>51</v>
      </c>
      <c r="D134" s="74">
        <f>D135</f>
        <v>0</v>
      </c>
      <c r="E134" s="74">
        <f>E135</f>
        <v>0</v>
      </c>
      <c r="F134" s="72"/>
    </row>
    <row r="135" spans="1:6" ht="18.75" hidden="1" x14ac:dyDescent="0.3">
      <c r="A135" s="124" t="s">
        <v>748</v>
      </c>
      <c r="B135" s="10" t="s">
        <v>746</v>
      </c>
      <c r="C135" s="10" t="s">
        <v>51</v>
      </c>
      <c r="D135" s="74">
        <f>D136</f>
        <v>0</v>
      </c>
      <c r="E135" s="74">
        <f>E136</f>
        <v>0</v>
      </c>
      <c r="F135" s="72"/>
    </row>
    <row r="136" spans="1:6" ht="75" hidden="1" x14ac:dyDescent="0.3">
      <c r="A136" s="222" t="s">
        <v>759</v>
      </c>
      <c r="B136" s="10" t="s">
        <v>760</v>
      </c>
      <c r="C136" s="10" t="s">
        <v>51</v>
      </c>
      <c r="D136" s="74">
        <f>D137</f>
        <v>0</v>
      </c>
      <c r="E136" s="74">
        <f t="shared" ref="E136:F136" si="1">E137</f>
        <v>0</v>
      </c>
      <c r="F136" s="74">
        <f t="shared" si="1"/>
        <v>0</v>
      </c>
    </row>
    <row r="137" spans="1:6" ht="37.5" hidden="1" x14ac:dyDescent="0.3">
      <c r="A137" s="124" t="s">
        <v>433</v>
      </c>
      <c r="B137" s="10" t="s">
        <v>760</v>
      </c>
      <c r="C137" s="10" t="s">
        <v>264</v>
      </c>
      <c r="D137" s="74">
        <f>'В-26,27'!G144</f>
        <v>0</v>
      </c>
      <c r="E137" s="74">
        <f>'В-26,27'!H144</f>
        <v>0</v>
      </c>
      <c r="F137" s="72"/>
    </row>
    <row r="138" spans="1:6" ht="37.5" x14ac:dyDescent="0.3">
      <c r="A138" s="88" t="s">
        <v>880</v>
      </c>
      <c r="B138" s="10" t="s">
        <v>881</v>
      </c>
      <c r="C138" s="10" t="s">
        <v>51</v>
      </c>
      <c r="D138" s="74">
        <f>D139</f>
        <v>85966.2</v>
      </c>
      <c r="E138" s="74">
        <f>E139</f>
        <v>0</v>
      </c>
      <c r="F138" s="72"/>
    </row>
    <row r="139" spans="1:6" ht="37.5" x14ac:dyDescent="0.3">
      <c r="A139" s="124" t="s">
        <v>882</v>
      </c>
      <c r="B139" s="10" t="s">
        <v>881</v>
      </c>
      <c r="C139" s="10" t="s">
        <v>294</v>
      </c>
      <c r="D139" s="74">
        <f>'В-26,27'!G146</f>
        <v>85966.2</v>
      </c>
      <c r="E139" s="74">
        <v>0</v>
      </c>
      <c r="F139" s="72"/>
    </row>
    <row r="140" spans="1:6" ht="39" x14ac:dyDescent="0.35">
      <c r="A140" s="54" t="s">
        <v>140</v>
      </c>
      <c r="B140" s="49" t="s">
        <v>73</v>
      </c>
      <c r="C140" s="50" t="s">
        <v>51</v>
      </c>
      <c r="D140" s="94">
        <f>D141+D147</f>
        <v>3184.5</v>
      </c>
      <c r="E140" s="94">
        <f>E141+E147</f>
        <v>3184.5</v>
      </c>
      <c r="F140" s="72"/>
    </row>
    <row r="141" spans="1:6" ht="37.5" x14ac:dyDescent="0.3">
      <c r="A141" s="12" t="s">
        <v>53</v>
      </c>
      <c r="B141" s="11" t="s">
        <v>151</v>
      </c>
      <c r="C141" s="11" t="s">
        <v>51</v>
      </c>
      <c r="D141" s="74">
        <f>D142+D145</f>
        <v>3184.5</v>
      </c>
      <c r="E141" s="74">
        <f>E142+E145</f>
        <v>3184.5</v>
      </c>
      <c r="F141" s="72"/>
    </row>
    <row r="142" spans="1:6" ht="18.75" x14ac:dyDescent="0.3">
      <c r="A142" s="12" t="s">
        <v>79</v>
      </c>
      <c r="B142" s="11" t="s">
        <v>152</v>
      </c>
      <c r="C142" s="11" t="s">
        <v>51</v>
      </c>
      <c r="D142" s="74">
        <f>D143+D144</f>
        <v>3184.5</v>
      </c>
      <c r="E142" s="74">
        <f>E143+E144</f>
        <v>3184.5</v>
      </c>
      <c r="F142" s="72"/>
    </row>
    <row r="143" spans="1:6" ht="75" x14ac:dyDescent="0.3">
      <c r="A143" s="12" t="s">
        <v>57</v>
      </c>
      <c r="B143" s="11" t="s">
        <v>152</v>
      </c>
      <c r="C143" s="11" t="s">
        <v>58</v>
      </c>
      <c r="D143" s="74">
        <f>'В-26,27'!G264</f>
        <v>3109.3</v>
      </c>
      <c r="E143" s="74">
        <f>'В-26,27'!H264</f>
        <v>3109.3</v>
      </c>
      <c r="F143" s="72"/>
    </row>
    <row r="144" spans="1:6" ht="37.5" x14ac:dyDescent="0.3">
      <c r="A144" s="12" t="s">
        <v>433</v>
      </c>
      <c r="B144" s="11" t="s">
        <v>152</v>
      </c>
      <c r="C144" s="11" t="s">
        <v>60</v>
      </c>
      <c r="D144" s="74">
        <f>'В-26,27'!G265</f>
        <v>75.2</v>
      </c>
      <c r="E144" s="74">
        <f>'В-26,27'!H265</f>
        <v>75.2</v>
      </c>
      <c r="F144" s="72"/>
    </row>
    <row r="145" spans="1:6" ht="37.5" hidden="1" x14ac:dyDescent="0.3">
      <c r="A145" s="2" t="s">
        <v>377</v>
      </c>
      <c r="B145" s="11" t="s">
        <v>517</v>
      </c>
      <c r="C145" s="11" t="s">
        <v>51</v>
      </c>
      <c r="D145" s="74">
        <f>D146</f>
        <v>0</v>
      </c>
      <c r="E145" s="74">
        <f>E146</f>
        <v>0</v>
      </c>
      <c r="F145" s="72"/>
    </row>
    <row r="146" spans="1:6" ht="75" hidden="1" x14ac:dyDescent="0.3">
      <c r="A146" s="12" t="s">
        <v>57</v>
      </c>
      <c r="B146" s="11" t="s">
        <v>517</v>
      </c>
      <c r="C146" s="11" t="s">
        <v>58</v>
      </c>
      <c r="D146" s="74">
        <f>'В-26,27'!G267</f>
        <v>0</v>
      </c>
      <c r="E146" s="74">
        <f>'В-26,27'!H267</f>
        <v>0</v>
      </c>
      <c r="F146" s="72"/>
    </row>
    <row r="147" spans="1:6" ht="18.75" hidden="1" x14ac:dyDescent="0.3">
      <c r="A147" s="12" t="s">
        <v>63</v>
      </c>
      <c r="B147" s="10" t="s">
        <v>155</v>
      </c>
      <c r="C147" s="10" t="s">
        <v>51</v>
      </c>
      <c r="D147" s="74">
        <f>D148</f>
        <v>0</v>
      </c>
      <c r="E147" s="74">
        <f>E148</f>
        <v>0</v>
      </c>
      <c r="F147" s="72"/>
    </row>
    <row r="148" spans="1:6" ht="18.75" hidden="1" x14ac:dyDescent="0.3">
      <c r="A148" s="12" t="s">
        <v>154</v>
      </c>
      <c r="B148" s="10" t="s">
        <v>156</v>
      </c>
      <c r="C148" s="10" t="s">
        <v>51</v>
      </c>
      <c r="D148" s="74">
        <f>D149+D150</f>
        <v>0</v>
      </c>
      <c r="E148" s="74">
        <f>E149+E150</f>
        <v>0</v>
      </c>
      <c r="F148" s="72"/>
    </row>
    <row r="149" spans="1:6" ht="37.5" hidden="1" x14ac:dyDescent="0.3">
      <c r="A149" s="12" t="s">
        <v>433</v>
      </c>
      <c r="B149" s="10" t="s">
        <v>156</v>
      </c>
      <c r="C149" s="10" t="s">
        <v>60</v>
      </c>
      <c r="D149" s="74">
        <f>'В-26,27'!G270</f>
        <v>0</v>
      </c>
      <c r="E149" s="74">
        <f>'В-26,27'!H270</f>
        <v>0</v>
      </c>
      <c r="F149" s="72"/>
    </row>
    <row r="150" spans="1:6" ht="18.75" hidden="1" x14ac:dyDescent="0.3">
      <c r="A150" s="12" t="s">
        <v>176</v>
      </c>
      <c r="B150" s="10" t="s">
        <v>156</v>
      </c>
      <c r="C150" s="10" t="s">
        <v>177</v>
      </c>
      <c r="D150" s="74">
        <f>'В-26,27'!G1125</f>
        <v>0</v>
      </c>
      <c r="E150" s="74">
        <f>'В-26,27'!H1125</f>
        <v>0</v>
      </c>
      <c r="F150" s="72"/>
    </row>
    <row r="151" spans="1:6" ht="59.25" customHeight="1" x14ac:dyDescent="0.35">
      <c r="A151" s="51" t="s">
        <v>141</v>
      </c>
      <c r="B151" s="49" t="s">
        <v>78</v>
      </c>
      <c r="C151" s="50" t="s">
        <v>51</v>
      </c>
      <c r="D151" s="94">
        <f>D152+D164+D168</f>
        <v>2367.37</v>
      </c>
      <c r="E151" s="94">
        <f>E152+E164+E168</f>
        <v>2367.37</v>
      </c>
      <c r="F151" s="72"/>
    </row>
    <row r="152" spans="1:6" ht="18.75" hidden="1" x14ac:dyDescent="0.3">
      <c r="A152" s="12" t="s">
        <v>63</v>
      </c>
      <c r="B152" s="10" t="s">
        <v>153</v>
      </c>
      <c r="C152" s="10" t="s">
        <v>51</v>
      </c>
      <c r="D152" s="74">
        <f>D156+D153+D158+D160+D162</f>
        <v>0</v>
      </c>
      <c r="E152" s="74">
        <f>E156+E153+E158+E160+E162</f>
        <v>0</v>
      </c>
      <c r="F152" s="72"/>
    </row>
    <row r="153" spans="1:6" ht="18.75" hidden="1" x14ac:dyDescent="0.3">
      <c r="A153" s="12" t="s">
        <v>165</v>
      </c>
      <c r="B153" s="10" t="s">
        <v>463</v>
      </c>
      <c r="C153" s="10" t="s">
        <v>51</v>
      </c>
      <c r="D153" s="74">
        <f>D154+D155</f>
        <v>0</v>
      </c>
      <c r="E153" s="74">
        <f>E154+E155</f>
        <v>0</v>
      </c>
      <c r="F153" s="72"/>
    </row>
    <row r="154" spans="1:6" ht="18.75" hidden="1" x14ac:dyDescent="0.3">
      <c r="A154" s="12" t="s">
        <v>59</v>
      </c>
      <c r="B154" s="10" t="s">
        <v>463</v>
      </c>
      <c r="C154" s="10" t="s">
        <v>60</v>
      </c>
      <c r="D154" s="74">
        <f>'В-26,27'!G212</f>
        <v>0</v>
      </c>
      <c r="E154" s="74">
        <f>'В-26,27'!H212</f>
        <v>0</v>
      </c>
      <c r="F154" s="72"/>
    </row>
    <row r="155" spans="1:6" ht="37.5" hidden="1" x14ac:dyDescent="0.3">
      <c r="A155" s="12" t="s">
        <v>267</v>
      </c>
      <c r="B155" s="10" t="s">
        <v>463</v>
      </c>
      <c r="C155" s="10" t="s">
        <v>264</v>
      </c>
      <c r="D155" s="74">
        <f>'В-26,27'!G219+'В-26,27'!G1032</f>
        <v>0</v>
      </c>
      <c r="E155" s="74">
        <f>'В-26,27'!H219+'В-26,27'!H1032</f>
        <v>0</v>
      </c>
      <c r="F155" s="72"/>
    </row>
    <row r="156" spans="1:6" ht="18.75" hidden="1" outlineLevel="1" x14ac:dyDescent="0.3">
      <c r="A156" s="12" t="s">
        <v>157</v>
      </c>
      <c r="B156" s="10" t="s">
        <v>158</v>
      </c>
      <c r="C156" s="10" t="s">
        <v>51</v>
      </c>
      <c r="D156" s="74">
        <f>D157</f>
        <v>0</v>
      </c>
      <c r="E156" s="74">
        <f>E157</f>
        <v>0</v>
      </c>
      <c r="F156" s="72"/>
    </row>
    <row r="157" spans="1:6" ht="37.5" hidden="1" outlineLevel="1" x14ac:dyDescent="0.3">
      <c r="A157" s="12" t="s">
        <v>433</v>
      </c>
      <c r="B157" s="10" t="s">
        <v>158</v>
      </c>
      <c r="C157" s="10" t="s">
        <v>60</v>
      </c>
      <c r="D157" s="74">
        <f>'[2]В-21'!G133</f>
        <v>0</v>
      </c>
      <c r="E157" s="74">
        <f>'[2]В-21'!H133</f>
        <v>0</v>
      </c>
      <c r="F157" s="72"/>
    </row>
    <row r="158" spans="1:6" ht="18.75" hidden="1" x14ac:dyDescent="0.3">
      <c r="A158" s="12" t="s">
        <v>67</v>
      </c>
      <c r="B158" s="10" t="s">
        <v>464</v>
      </c>
      <c r="C158" s="10" t="s">
        <v>51</v>
      </c>
      <c r="D158" s="74">
        <f>D159</f>
        <v>0</v>
      </c>
      <c r="E158" s="74">
        <f>E159</f>
        <v>0</v>
      </c>
      <c r="F158" s="72"/>
    </row>
    <row r="159" spans="1:6" ht="37.5" hidden="1" x14ac:dyDescent="0.3">
      <c r="A159" s="12" t="s">
        <v>433</v>
      </c>
      <c r="B159" s="10" t="s">
        <v>464</v>
      </c>
      <c r="C159" s="10" t="s">
        <v>60</v>
      </c>
      <c r="D159" s="74">
        <f>'[2]В-21'!G135</f>
        <v>0</v>
      </c>
      <c r="E159" s="74">
        <f>'[2]В-21'!H135</f>
        <v>0</v>
      </c>
      <c r="F159" s="72"/>
    </row>
    <row r="160" spans="1:6" ht="42" hidden="1" customHeight="1" x14ac:dyDescent="0.3">
      <c r="A160" s="12" t="s">
        <v>508</v>
      </c>
      <c r="B160" s="10" t="s">
        <v>507</v>
      </c>
      <c r="C160" s="10" t="s">
        <v>51</v>
      </c>
      <c r="D160" s="74">
        <f>D161</f>
        <v>0</v>
      </c>
      <c r="E160" s="74">
        <f>E161</f>
        <v>0</v>
      </c>
      <c r="F160" s="72"/>
    </row>
    <row r="161" spans="1:6" ht="37.5" hidden="1" x14ac:dyDescent="0.3">
      <c r="A161" s="12" t="s">
        <v>433</v>
      </c>
      <c r="B161" s="10" t="s">
        <v>507</v>
      </c>
      <c r="C161" s="10" t="s">
        <v>60</v>
      </c>
      <c r="D161" s="74">
        <f>'[2]В-21'!G137</f>
        <v>0</v>
      </c>
      <c r="E161" s="74">
        <f>'[2]В-21'!H137</f>
        <v>0</v>
      </c>
      <c r="F161" s="72"/>
    </row>
    <row r="162" spans="1:6" ht="18.75" hidden="1" x14ac:dyDescent="0.3">
      <c r="A162" s="12" t="s">
        <v>76</v>
      </c>
      <c r="B162" s="10" t="s">
        <v>677</v>
      </c>
      <c r="C162" s="10" t="s">
        <v>51</v>
      </c>
      <c r="D162" s="74">
        <f>D163</f>
        <v>0</v>
      </c>
      <c r="E162" s="74">
        <f>E163</f>
        <v>0</v>
      </c>
      <c r="F162" s="72"/>
    </row>
    <row r="163" spans="1:6" ht="37.5" hidden="1" x14ac:dyDescent="0.3">
      <c r="A163" s="12" t="s">
        <v>433</v>
      </c>
      <c r="B163" s="10" t="s">
        <v>677</v>
      </c>
      <c r="C163" s="10" t="s">
        <v>60</v>
      </c>
      <c r="D163" s="74">
        <f>'В-26,27'!G221</f>
        <v>0</v>
      </c>
      <c r="E163" s="74">
        <f>'В-26,27'!H221</f>
        <v>0</v>
      </c>
      <c r="F163" s="72"/>
    </row>
    <row r="164" spans="1:6" ht="56.25" x14ac:dyDescent="0.3">
      <c r="A164" s="12" t="s">
        <v>252</v>
      </c>
      <c r="B164" s="10" t="s">
        <v>778</v>
      </c>
      <c r="C164" s="10" t="s">
        <v>51</v>
      </c>
      <c r="D164" s="74">
        <f>D165</f>
        <v>2343.17</v>
      </c>
      <c r="E164" s="74">
        <f>E165</f>
        <v>2343.17</v>
      </c>
      <c r="F164" s="72"/>
    </row>
    <row r="165" spans="1:6" ht="37.5" x14ac:dyDescent="0.3">
      <c r="A165" s="12" t="s">
        <v>304</v>
      </c>
      <c r="B165" s="10" t="s">
        <v>779</v>
      </c>
      <c r="C165" s="10" t="s">
        <v>51</v>
      </c>
      <c r="D165" s="74">
        <f>D166+D167</f>
        <v>2343.17</v>
      </c>
      <c r="E165" s="74">
        <f>E166+E167</f>
        <v>2343.17</v>
      </c>
      <c r="F165" s="72"/>
    </row>
    <row r="166" spans="1:6" ht="37.5" x14ac:dyDescent="0.3">
      <c r="A166" s="12" t="s">
        <v>433</v>
      </c>
      <c r="B166" s="10" t="s">
        <v>779</v>
      </c>
      <c r="C166" s="10" t="s">
        <v>60</v>
      </c>
      <c r="D166" s="74">
        <f>'В-26,27'!G224</f>
        <v>2343.17</v>
      </c>
      <c r="E166" s="74">
        <f>'В-26,27'!H224</f>
        <v>2343.17</v>
      </c>
      <c r="F166" s="72"/>
    </row>
    <row r="167" spans="1:6" ht="37.5" hidden="1" x14ac:dyDescent="0.3">
      <c r="A167" s="12" t="s">
        <v>267</v>
      </c>
      <c r="B167" s="10" t="s">
        <v>414</v>
      </c>
      <c r="C167" s="10" t="s">
        <v>264</v>
      </c>
      <c r="D167" s="74">
        <f>'В-26,27'!G225+'В-26,27'!G1034</f>
        <v>0</v>
      </c>
      <c r="E167" s="74">
        <f>'В-26,27'!H225+'В-26,27'!H1034</f>
        <v>0</v>
      </c>
      <c r="F167" s="72"/>
    </row>
    <row r="168" spans="1:6" ht="37.5" x14ac:dyDescent="0.3">
      <c r="A168" s="12" t="s">
        <v>304</v>
      </c>
      <c r="B168" s="10" t="s">
        <v>780</v>
      </c>
      <c r="C168" s="10" t="s">
        <v>51</v>
      </c>
      <c r="D168" s="74">
        <f>D169+D170</f>
        <v>24.2</v>
      </c>
      <c r="E168" s="74">
        <f>E169+E170</f>
        <v>24.2</v>
      </c>
      <c r="F168" s="72"/>
    </row>
    <row r="169" spans="1:6" ht="37.5" x14ac:dyDescent="0.3">
      <c r="A169" s="12" t="s">
        <v>433</v>
      </c>
      <c r="B169" s="10" t="s">
        <v>780</v>
      </c>
      <c r="C169" s="10" t="s">
        <v>60</v>
      </c>
      <c r="D169" s="74">
        <f>'В-26,27'!G227</f>
        <v>24.2</v>
      </c>
      <c r="E169" s="74">
        <f>'В-26,27'!H227</f>
        <v>24.2</v>
      </c>
      <c r="F169" s="72"/>
    </row>
    <row r="170" spans="1:6" ht="37.5" hidden="1" x14ac:dyDescent="0.3">
      <c r="A170" s="12" t="s">
        <v>267</v>
      </c>
      <c r="B170" s="10" t="s">
        <v>415</v>
      </c>
      <c r="C170" s="10" t="s">
        <v>264</v>
      </c>
      <c r="D170" s="74">
        <f>'В-26,27'!G228+'В-26,27'!G1036</f>
        <v>0</v>
      </c>
      <c r="E170" s="74">
        <f>'В-26,27'!H228+'В-26,27'!H1036</f>
        <v>0</v>
      </c>
      <c r="F170" s="72"/>
    </row>
    <row r="171" spans="1:6" ht="39" x14ac:dyDescent="0.35">
      <c r="A171" s="51" t="s">
        <v>142</v>
      </c>
      <c r="B171" s="49" t="s">
        <v>80</v>
      </c>
      <c r="C171" s="50" t="s">
        <v>51</v>
      </c>
      <c r="D171" s="94">
        <f>D172+D184+D197+D180+D178+D199</f>
        <v>4745.1000000000004</v>
      </c>
      <c r="E171" s="94">
        <f>E172+E199</f>
        <v>4789.7999999999993</v>
      </c>
      <c r="F171" s="72"/>
    </row>
    <row r="172" spans="1:6" ht="36.75" customHeight="1" x14ac:dyDescent="0.3">
      <c r="A172" s="12" t="s">
        <v>53</v>
      </c>
      <c r="B172" s="10" t="s">
        <v>163</v>
      </c>
      <c r="C172" s="10" t="s">
        <v>51</v>
      </c>
      <c r="D172" s="74">
        <f>D173+D182+D176</f>
        <v>3189.2999999999997</v>
      </c>
      <c r="E172" s="74">
        <f>E173</f>
        <v>3189.2999999999997</v>
      </c>
      <c r="F172" s="72"/>
    </row>
    <row r="173" spans="1:6" ht="18.75" x14ac:dyDescent="0.3">
      <c r="A173" s="12" t="s">
        <v>83</v>
      </c>
      <c r="B173" s="10" t="s">
        <v>164</v>
      </c>
      <c r="C173" s="10" t="s">
        <v>51</v>
      </c>
      <c r="D173" s="74">
        <f>D174+D175</f>
        <v>3189.2999999999997</v>
      </c>
      <c r="E173" s="74">
        <f>E174+E175</f>
        <v>3189.2999999999997</v>
      </c>
      <c r="F173" s="72"/>
    </row>
    <row r="174" spans="1:6" ht="75" x14ac:dyDescent="0.3">
      <c r="A174" s="12" t="s">
        <v>57</v>
      </c>
      <c r="B174" s="10" t="s">
        <v>164</v>
      </c>
      <c r="C174" s="10" t="s">
        <v>58</v>
      </c>
      <c r="D174" s="74">
        <f>'В-26,27'!G232</f>
        <v>2808.1</v>
      </c>
      <c r="E174" s="74">
        <f>'В-26,27'!H232</f>
        <v>2808.1</v>
      </c>
      <c r="F174" s="72"/>
    </row>
    <row r="175" spans="1:6" ht="37.5" x14ac:dyDescent="0.3">
      <c r="A175" s="12" t="s">
        <v>433</v>
      </c>
      <c r="B175" s="10" t="s">
        <v>164</v>
      </c>
      <c r="C175" s="10" t="s">
        <v>60</v>
      </c>
      <c r="D175" s="74">
        <f>'В-26,27'!G233</f>
        <v>381.2</v>
      </c>
      <c r="E175" s="74">
        <f>'В-26,27'!H233</f>
        <v>381.2</v>
      </c>
      <c r="F175" s="72"/>
    </row>
    <row r="176" spans="1:6" ht="37.5" hidden="1" x14ac:dyDescent="0.3">
      <c r="A176" s="2" t="s">
        <v>377</v>
      </c>
      <c r="B176" s="10" t="s">
        <v>515</v>
      </c>
      <c r="C176" s="10" t="s">
        <v>51</v>
      </c>
      <c r="D176" s="74">
        <f>D177</f>
        <v>0</v>
      </c>
      <c r="E176" s="74">
        <f>E177</f>
        <v>0</v>
      </c>
      <c r="F176" s="72"/>
    </row>
    <row r="177" spans="1:6" ht="75" hidden="1" x14ac:dyDescent="0.3">
      <c r="A177" s="12" t="s">
        <v>57</v>
      </c>
      <c r="B177" s="10" t="s">
        <v>515</v>
      </c>
      <c r="C177" s="10" t="s">
        <v>58</v>
      </c>
      <c r="D177" s="74">
        <f>'В-26,27'!G235</f>
        <v>0</v>
      </c>
      <c r="E177" s="74">
        <f>'В-26,27'!H235</f>
        <v>0</v>
      </c>
      <c r="F177" s="72"/>
    </row>
    <row r="178" spans="1:6" ht="18.75" hidden="1" x14ac:dyDescent="0.3">
      <c r="A178" s="12" t="s">
        <v>165</v>
      </c>
      <c r="B178" s="10" t="s">
        <v>166</v>
      </c>
      <c r="C178" s="10" t="s">
        <v>51</v>
      </c>
      <c r="D178" s="74">
        <f>D179</f>
        <v>0</v>
      </c>
      <c r="E178" s="74">
        <f>E179</f>
        <v>0</v>
      </c>
      <c r="F178" s="72"/>
    </row>
    <row r="179" spans="1:6" ht="37.5" hidden="1" x14ac:dyDescent="0.3">
      <c r="A179" s="12" t="s">
        <v>433</v>
      </c>
      <c r="B179" s="10" t="s">
        <v>166</v>
      </c>
      <c r="C179" s="10" t="s">
        <v>60</v>
      </c>
      <c r="D179" s="74">
        <f>'В-26,27'!G238</f>
        <v>0</v>
      </c>
      <c r="E179" s="74">
        <f>'В-26,27'!H238</f>
        <v>0</v>
      </c>
      <c r="F179" s="72"/>
    </row>
    <row r="180" spans="1:6" ht="18.75" hidden="1" x14ac:dyDescent="0.3">
      <c r="A180" s="12" t="s">
        <v>314</v>
      </c>
      <c r="B180" s="10" t="s">
        <v>538</v>
      </c>
      <c r="C180" s="10" t="s">
        <v>51</v>
      </c>
      <c r="D180" s="74">
        <f>D181</f>
        <v>0</v>
      </c>
      <c r="E180" s="74">
        <f>E181</f>
        <v>1.5</v>
      </c>
      <c r="F180" s="72"/>
    </row>
    <row r="181" spans="1:6" ht="37.5" hidden="1" x14ac:dyDescent="0.3">
      <c r="A181" s="12" t="s">
        <v>433</v>
      </c>
      <c r="B181" s="10" t="s">
        <v>538</v>
      </c>
      <c r="C181" s="10" t="s">
        <v>60</v>
      </c>
      <c r="D181" s="74">
        <f>'В-26,27'!G1043</f>
        <v>0</v>
      </c>
      <c r="E181" s="74">
        <f>'В-26,27'!H1043</f>
        <v>1.5</v>
      </c>
      <c r="F181" s="72"/>
    </row>
    <row r="182" spans="1:6" ht="37.5" hidden="1" x14ac:dyDescent="0.3">
      <c r="A182" s="2" t="s">
        <v>377</v>
      </c>
      <c r="B182" s="10" t="s">
        <v>515</v>
      </c>
      <c r="C182" s="10" t="s">
        <v>51</v>
      </c>
      <c r="D182" s="74">
        <f>D183</f>
        <v>0</v>
      </c>
      <c r="E182" s="74">
        <f>E183</f>
        <v>0</v>
      </c>
      <c r="F182" s="72"/>
    </row>
    <row r="183" spans="1:6" ht="75" hidden="1" x14ac:dyDescent="0.3">
      <c r="A183" s="12" t="s">
        <v>57</v>
      </c>
      <c r="B183" s="10" t="s">
        <v>515</v>
      </c>
      <c r="C183" s="10" t="s">
        <v>58</v>
      </c>
      <c r="D183" s="74">
        <f>'[2]В-21'!G149</f>
        <v>0</v>
      </c>
      <c r="E183" s="74">
        <f>'[2]В-21'!H149</f>
        <v>0</v>
      </c>
      <c r="F183" s="72"/>
    </row>
    <row r="184" spans="1:6" ht="18.75" hidden="1" x14ac:dyDescent="0.3">
      <c r="A184" s="12" t="s">
        <v>63</v>
      </c>
      <c r="B184" s="10" t="s">
        <v>81</v>
      </c>
      <c r="C184" s="10" t="s">
        <v>51</v>
      </c>
      <c r="D184" s="74">
        <f>D185+D187</f>
        <v>0</v>
      </c>
      <c r="E184" s="74">
        <f>E185+E187</f>
        <v>0</v>
      </c>
      <c r="F184" s="72"/>
    </row>
    <row r="185" spans="1:6" ht="18.75" hidden="1" outlineLevel="1" x14ac:dyDescent="0.3">
      <c r="A185" s="12" t="s">
        <v>165</v>
      </c>
      <c r="B185" s="10" t="s">
        <v>166</v>
      </c>
      <c r="C185" s="10" t="s">
        <v>51</v>
      </c>
      <c r="D185" s="74">
        <f>D186</f>
        <v>0</v>
      </c>
      <c r="E185" s="74">
        <f>E186</f>
        <v>0</v>
      </c>
      <c r="F185" s="72"/>
    </row>
    <row r="186" spans="1:6" ht="37.5" hidden="1" outlineLevel="1" x14ac:dyDescent="0.3">
      <c r="A186" s="12" t="s">
        <v>433</v>
      </c>
      <c r="B186" s="10" t="s">
        <v>166</v>
      </c>
      <c r="C186" s="10" t="s">
        <v>60</v>
      </c>
      <c r="D186" s="74">
        <f>'[2]В-21'!G152</f>
        <v>0</v>
      </c>
      <c r="E186" s="74">
        <f>'[2]В-21'!H152</f>
        <v>0</v>
      </c>
      <c r="F186" s="72"/>
    </row>
    <row r="187" spans="1:6" ht="37.5" hidden="1" x14ac:dyDescent="0.3">
      <c r="A187" s="12" t="s">
        <v>476</v>
      </c>
      <c r="B187" s="11" t="s">
        <v>475</v>
      </c>
      <c r="C187" s="11" t="s">
        <v>51</v>
      </c>
      <c r="D187" s="74">
        <f>D188</f>
        <v>0</v>
      </c>
      <c r="E187" s="74">
        <f>E188</f>
        <v>0</v>
      </c>
      <c r="F187" s="72"/>
    </row>
    <row r="188" spans="1:6" ht="37.5" hidden="1" x14ac:dyDescent="0.3">
      <c r="A188" s="12" t="s">
        <v>433</v>
      </c>
      <c r="B188" s="11" t="s">
        <v>475</v>
      </c>
      <c r="C188" s="11" t="s">
        <v>60</v>
      </c>
      <c r="D188" s="74">
        <f>'[2]В-21'!G584</f>
        <v>0</v>
      </c>
      <c r="E188" s="74">
        <f>'[2]В-21'!H584</f>
        <v>0</v>
      </c>
      <c r="F188" s="72"/>
    </row>
    <row r="189" spans="1:6" ht="19.5" hidden="1" outlineLevel="1" x14ac:dyDescent="0.35">
      <c r="A189" s="56" t="s">
        <v>84</v>
      </c>
      <c r="B189" s="49" t="s">
        <v>85</v>
      </c>
      <c r="C189" s="50" t="s">
        <v>51</v>
      </c>
      <c r="D189" s="94">
        <f>D190+D194</f>
        <v>0</v>
      </c>
      <c r="E189" s="94">
        <f>E190+E194</f>
        <v>0</v>
      </c>
      <c r="F189" s="72"/>
    </row>
    <row r="190" spans="1:6" ht="56.25" hidden="1" outlineLevel="1" x14ac:dyDescent="0.3">
      <c r="A190" s="12" t="s">
        <v>252</v>
      </c>
      <c r="B190" s="10" t="s">
        <v>303</v>
      </c>
      <c r="C190" s="10" t="s">
        <v>51</v>
      </c>
      <c r="D190" s="74">
        <f>D191</f>
        <v>0</v>
      </c>
      <c r="E190" s="74">
        <f>E191</f>
        <v>0</v>
      </c>
      <c r="F190" s="72"/>
    </row>
    <row r="191" spans="1:6" ht="37.5" hidden="1" outlineLevel="1" x14ac:dyDescent="0.3">
      <c r="A191" s="12" t="s">
        <v>304</v>
      </c>
      <c r="B191" s="10" t="s">
        <v>305</v>
      </c>
      <c r="C191" s="10" t="s">
        <v>51</v>
      </c>
      <c r="D191" s="74">
        <f>D192+D193</f>
        <v>0</v>
      </c>
      <c r="E191" s="74">
        <f>E192+E193</f>
        <v>0</v>
      </c>
      <c r="F191" s="72"/>
    </row>
    <row r="192" spans="1:6" ht="18.75" hidden="1" outlineLevel="1" x14ac:dyDescent="0.3">
      <c r="A192" s="12" t="s">
        <v>59</v>
      </c>
      <c r="B192" s="10" t="s">
        <v>305</v>
      </c>
      <c r="C192" s="10" t="s">
        <v>60</v>
      </c>
      <c r="D192" s="74">
        <f>'[2]В-21'!G156</f>
        <v>0</v>
      </c>
      <c r="E192" s="74">
        <f>'[2]В-21'!H156</f>
        <v>0</v>
      </c>
      <c r="F192" s="72"/>
    </row>
    <row r="193" spans="1:6" ht="37.5" hidden="1" outlineLevel="1" x14ac:dyDescent="0.3">
      <c r="A193" s="12" t="s">
        <v>267</v>
      </c>
      <c r="B193" s="10" t="s">
        <v>305</v>
      </c>
      <c r="C193" s="10" t="s">
        <v>264</v>
      </c>
      <c r="D193" s="74"/>
      <c r="E193" s="74"/>
      <c r="F193" s="72"/>
    </row>
    <row r="194" spans="1:6" ht="37.5" hidden="1" outlineLevel="1" x14ac:dyDescent="0.3">
      <c r="A194" s="12" t="s">
        <v>304</v>
      </c>
      <c r="B194" s="10" t="s">
        <v>306</v>
      </c>
      <c r="C194" s="10" t="s">
        <v>51</v>
      </c>
      <c r="D194" s="74">
        <f>D195+D196</f>
        <v>0</v>
      </c>
      <c r="E194" s="74">
        <f>E195+E196</f>
        <v>0</v>
      </c>
      <c r="F194" s="72"/>
    </row>
    <row r="195" spans="1:6" ht="18.75" hidden="1" outlineLevel="1" x14ac:dyDescent="0.3">
      <c r="A195" s="12" t="s">
        <v>59</v>
      </c>
      <c r="B195" s="10" t="s">
        <v>306</v>
      </c>
      <c r="C195" s="10" t="s">
        <v>60</v>
      </c>
      <c r="D195" s="74">
        <f>'[2]В-21'!G158</f>
        <v>0</v>
      </c>
      <c r="E195" s="74">
        <f>'[2]В-21'!H158</f>
        <v>0</v>
      </c>
      <c r="F195" s="72"/>
    </row>
    <row r="196" spans="1:6" ht="37.5" hidden="1" outlineLevel="1" x14ac:dyDescent="0.3">
      <c r="A196" s="12" t="s">
        <v>267</v>
      </c>
      <c r="B196" s="10" t="s">
        <v>306</v>
      </c>
      <c r="C196" s="10" t="s">
        <v>264</v>
      </c>
      <c r="D196" s="74"/>
      <c r="E196" s="74"/>
      <c r="F196" s="72"/>
    </row>
    <row r="197" spans="1:6" ht="24.75" hidden="1" customHeight="1" x14ac:dyDescent="0.3">
      <c r="A197" s="12" t="s">
        <v>427</v>
      </c>
      <c r="B197" s="11" t="s">
        <v>428</v>
      </c>
      <c r="C197" s="11" t="s">
        <v>51</v>
      </c>
      <c r="D197" s="74">
        <f>D198</f>
        <v>0</v>
      </c>
      <c r="E197" s="74">
        <f>E198</f>
        <v>0</v>
      </c>
      <c r="F197" s="72"/>
    </row>
    <row r="198" spans="1:6" ht="37.5" hidden="1" x14ac:dyDescent="0.3">
      <c r="A198" s="12" t="s">
        <v>433</v>
      </c>
      <c r="B198" s="11" t="s">
        <v>428</v>
      </c>
      <c r="C198" s="10" t="s">
        <v>60</v>
      </c>
      <c r="D198" s="74">
        <f>'[2]В-21'!G586</f>
        <v>0</v>
      </c>
      <c r="E198" s="74">
        <f>'[2]В-21'!H586</f>
        <v>0</v>
      </c>
      <c r="F198" s="72"/>
    </row>
    <row r="199" spans="1:6" ht="37.5" x14ac:dyDescent="0.3">
      <c r="A199" s="4" t="s">
        <v>142</v>
      </c>
      <c r="B199" s="10" t="s">
        <v>80</v>
      </c>
      <c r="C199" s="10" t="s">
        <v>51</v>
      </c>
      <c r="D199" s="74">
        <f t="shared" ref="D199:E201" si="2">D200</f>
        <v>1555.8000000000002</v>
      </c>
      <c r="E199" s="74">
        <f t="shared" si="2"/>
        <v>1600.5</v>
      </c>
      <c r="F199" s="72"/>
    </row>
    <row r="200" spans="1:6" ht="26.25" hidden="1" customHeight="1" x14ac:dyDescent="0.3">
      <c r="A200" s="4" t="s">
        <v>696</v>
      </c>
      <c r="B200" s="10" t="s">
        <v>756</v>
      </c>
      <c r="C200" s="10" t="s">
        <v>51</v>
      </c>
      <c r="D200" s="74">
        <f t="shared" si="2"/>
        <v>1555.8000000000002</v>
      </c>
      <c r="E200" s="74">
        <f t="shared" si="2"/>
        <v>1600.5</v>
      </c>
      <c r="F200" s="72"/>
    </row>
    <row r="201" spans="1:6" ht="37.5" hidden="1" x14ac:dyDescent="0.3">
      <c r="A201" s="12" t="s">
        <v>754</v>
      </c>
      <c r="B201" s="10" t="s">
        <v>757</v>
      </c>
      <c r="C201" s="10" t="s">
        <v>51</v>
      </c>
      <c r="D201" s="74">
        <f t="shared" si="2"/>
        <v>1555.8000000000002</v>
      </c>
      <c r="E201" s="74">
        <f t="shared" si="2"/>
        <v>1600.5</v>
      </c>
      <c r="F201" s="72"/>
    </row>
    <row r="202" spans="1:6" ht="75" x14ac:dyDescent="0.3">
      <c r="A202" s="12" t="s">
        <v>755</v>
      </c>
      <c r="B202" s="10" t="s">
        <v>883</v>
      </c>
      <c r="C202" s="10" t="s">
        <v>51</v>
      </c>
      <c r="D202" s="74">
        <f>D203+D204</f>
        <v>1555.8000000000002</v>
      </c>
      <c r="E202" s="74">
        <f>E203+E204</f>
        <v>1600.5</v>
      </c>
      <c r="F202" s="72"/>
    </row>
    <row r="203" spans="1:6" ht="75" x14ac:dyDescent="0.3">
      <c r="A203" s="12" t="s">
        <v>57</v>
      </c>
      <c r="B203" s="10" t="s">
        <v>883</v>
      </c>
      <c r="C203" s="10" t="s">
        <v>58</v>
      </c>
      <c r="D203" s="74">
        <f>'В-26,27'!G151</f>
        <v>1294.9000000000001</v>
      </c>
      <c r="E203" s="74">
        <f>'В-26,27'!H151</f>
        <v>1333.74</v>
      </c>
      <c r="F203" s="72"/>
    </row>
    <row r="204" spans="1:6" ht="37.5" x14ac:dyDescent="0.3">
      <c r="A204" s="12" t="s">
        <v>267</v>
      </c>
      <c r="B204" s="10" t="s">
        <v>883</v>
      </c>
      <c r="C204" s="10" t="s">
        <v>264</v>
      </c>
      <c r="D204" s="74">
        <f>'В-26,27'!G152</f>
        <v>260.89999999999998</v>
      </c>
      <c r="E204" s="74">
        <f>'В-26,27'!H152</f>
        <v>266.76000000000005</v>
      </c>
      <c r="F204" s="72"/>
    </row>
    <row r="205" spans="1:6" ht="41.25" customHeight="1" x14ac:dyDescent="0.3">
      <c r="A205" s="5" t="s">
        <v>159</v>
      </c>
      <c r="B205" s="15" t="s">
        <v>86</v>
      </c>
      <c r="C205" s="8" t="s">
        <v>51</v>
      </c>
      <c r="D205" s="93">
        <f>D206+D214+D229+D237+D249</f>
        <v>72947.699999999983</v>
      </c>
      <c r="E205" s="93">
        <f>E206+E214+E229+E237+E249</f>
        <v>72951.3</v>
      </c>
      <c r="F205" s="72"/>
    </row>
    <row r="206" spans="1:6" ht="58.5" x14ac:dyDescent="0.35">
      <c r="A206" s="51" t="s">
        <v>808</v>
      </c>
      <c r="B206" s="49" t="s">
        <v>87</v>
      </c>
      <c r="C206" s="50" t="s">
        <v>51</v>
      </c>
      <c r="D206" s="94">
        <f>D207</f>
        <v>16783.2</v>
      </c>
      <c r="E206" s="94">
        <f>E207</f>
        <v>16783.2</v>
      </c>
      <c r="F206" s="72"/>
    </row>
    <row r="207" spans="1:6" ht="39" customHeight="1" x14ac:dyDescent="0.3">
      <c r="A207" s="12" t="s">
        <v>53</v>
      </c>
      <c r="B207" s="10" t="s">
        <v>308</v>
      </c>
      <c r="C207" s="10" t="s">
        <v>51</v>
      </c>
      <c r="D207" s="74">
        <f>D208+D210+D212</f>
        <v>16783.2</v>
      </c>
      <c r="E207" s="74">
        <f>E208+E210+E212</f>
        <v>16783.2</v>
      </c>
      <c r="F207" s="72"/>
    </row>
    <row r="208" spans="1:6" ht="18.75" x14ac:dyDescent="0.3">
      <c r="A208" s="12" t="s">
        <v>307</v>
      </c>
      <c r="B208" s="10" t="s">
        <v>309</v>
      </c>
      <c r="C208" s="10" t="s">
        <v>51</v>
      </c>
      <c r="D208" s="74">
        <f>D209</f>
        <v>16783.2</v>
      </c>
      <c r="E208" s="74">
        <f>E209</f>
        <v>16783.2</v>
      </c>
      <c r="F208" s="72"/>
    </row>
    <row r="209" spans="1:6" ht="37.5" x14ac:dyDescent="0.3">
      <c r="A209" s="12" t="s">
        <v>267</v>
      </c>
      <c r="B209" s="10" t="s">
        <v>309</v>
      </c>
      <c r="C209" s="10" t="s">
        <v>264</v>
      </c>
      <c r="D209" s="74">
        <f>'В-26,27'!G1054+'В-26,27'!G1151</f>
        <v>16783.2</v>
      </c>
      <c r="E209" s="74">
        <f>'В-26,27'!H1054+'В-26,27'!H1151</f>
        <v>16783.2</v>
      </c>
      <c r="F209" s="72"/>
    </row>
    <row r="210" spans="1:6" ht="29.25" hidden="1" customHeight="1" x14ac:dyDescent="0.3">
      <c r="A210" s="2" t="s">
        <v>377</v>
      </c>
      <c r="B210" s="10" t="s">
        <v>438</v>
      </c>
      <c r="C210" s="10" t="s">
        <v>51</v>
      </c>
      <c r="D210" s="74">
        <f>D211</f>
        <v>0</v>
      </c>
      <c r="E210" s="74">
        <f>E211</f>
        <v>0</v>
      </c>
      <c r="F210" s="72"/>
    </row>
    <row r="211" spans="1:6" ht="37.5" hidden="1" x14ac:dyDescent="0.3">
      <c r="A211" s="12" t="s">
        <v>267</v>
      </c>
      <c r="B211" s="10" t="s">
        <v>438</v>
      </c>
      <c r="C211" s="10" t="s">
        <v>264</v>
      </c>
      <c r="D211" s="74">
        <v>0</v>
      </c>
      <c r="E211" s="74">
        <v>0</v>
      </c>
      <c r="F211" s="72"/>
    </row>
    <row r="212" spans="1:6" ht="37.5" hidden="1" x14ac:dyDescent="0.3">
      <c r="A212" s="2" t="s">
        <v>377</v>
      </c>
      <c r="B212" s="10" t="s">
        <v>438</v>
      </c>
      <c r="C212" s="10" t="s">
        <v>51</v>
      </c>
      <c r="D212" s="74">
        <f>D213</f>
        <v>0</v>
      </c>
      <c r="E212" s="74">
        <f>E213</f>
        <v>0</v>
      </c>
      <c r="F212" s="72"/>
    </row>
    <row r="213" spans="1:6" ht="37.5" hidden="1" x14ac:dyDescent="0.3">
      <c r="A213" s="12" t="s">
        <v>267</v>
      </c>
      <c r="B213" s="10" t="s">
        <v>438</v>
      </c>
      <c r="C213" s="10" t="s">
        <v>264</v>
      </c>
      <c r="D213" s="74">
        <f>'В-26,27'!G1056</f>
        <v>0</v>
      </c>
      <c r="E213" s="74">
        <f>'В-26,27'!H1056</f>
        <v>0</v>
      </c>
      <c r="F213" s="72"/>
    </row>
    <row r="214" spans="1:6" ht="45" customHeight="1" x14ac:dyDescent="0.35">
      <c r="A214" s="51" t="s">
        <v>144</v>
      </c>
      <c r="B214" s="49" t="s">
        <v>88</v>
      </c>
      <c r="C214" s="50" t="s">
        <v>51</v>
      </c>
      <c r="D214" s="94">
        <f>D215+D224</f>
        <v>15696.9</v>
      </c>
      <c r="E214" s="94">
        <f>E215+E224</f>
        <v>15695.5</v>
      </c>
      <c r="F214" s="72"/>
    </row>
    <row r="215" spans="1:6" ht="42" customHeight="1" x14ac:dyDescent="0.3">
      <c r="A215" s="12" t="s">
        <v>53</v>
      </c>
      <c r="B215" s="10" t="s">
        <v>198</v>
      </c>
      <c r="C215" s="10" t="s">
        <v>51</v>
      </c>
      <c r="D215" s="74">
        <f>D216+D220+D222</f>
        <v>15608.4</v>
      </c>
      <c r="E215" s="74">
        <f>E216</f>
        <v>15607</v>
      </c>
      <c r="F215" s="72"/>
    </row>
    <row r="216" spans="1:6" ht="18.75" x14ac:dyDescent="0.3">
      <c r="A216" s="12" t="s">
        <v>197</v>
      </c>
      <c r="B216" s="10" t="s">
        <v>199</v>
      </c>
      <c r="C216" s="10" t="s">
        <v>51</v>
      </c>
      <c r="D216" s="74">
        <f>D217+D218+D219</f>
        <v>15608.4</v>
      </c>
      <c r="E216" s="74">
        <f>E217+E218+E219</f>
        <v>15607</v>
      </c>
      <c r="F216" s="72"/>
    </row>
    <row r="217" spans="1:6" ht="75" x14ac:dyDescent="0.3">
      <c r="A217" s="12" t="s">
        <v>57</v>
      </c>
      <c r="B217" s="10" t="s">
        <v>199</v>
      </c>
      <c r="C217" s="10" t="s">
        <v>58</v>
      </c>
      <c r="D217" s="74">
        <f>'В-26,27'!G393</f>
        <v>13883.6</v>
      </c>
      <c r="E217" s="74">
        <f>'В-26,27'!H393</f>
        <v>13883.6</v>
      </c>
      <c r="F217" s="72">
        <f>D217+D218+D219+D226</f>
        <v>15696.9</v>
      </c>
    </row>
    <row r="218" spans="1:6" ht="37.5" x14ac:dyDescent="0.3">
      <c r="A218" s="12" t="s">
        <v>433</v>
      </c>
      <c r="B218" s="10" t="s">
        <v>199</v>
      </c>
      <c r="C218" s="10" t="s">
        <v>60</v>
      </c>
      <c r="D218" s="74">
        <f>'В-26,27'!G394</f>
        <v>1716.8</v>
      </c>
      <c r="E218" s="74">
        <f>'В-26,27'!H394</f>
        <v>1715.3999999999999</v>
      </c>
      <c r="F218" s="72"/>
    </row>
    <row r="219" spans="1:6" ht="18.75" x14ac:dyDescent="0.3">
      <c r="A219" s="12" t="s">
        <v>61</v>
      </c>
      <c r="B219" s="10" t="s">
        <v>199</v>
      </c>
      <c r="C219" s="10" t="s">
        <v>62</v>
      </c>
      <c r="D219" s="74">
        <f>'В-26,27'!G395</f>
        <v>8</v>
      </c>
      <c r="E219" s="74">
        <f>'В-26,27'!H395</f>
        <v>8</v>
      </c>
      <c r="F219" s="72"/>
    </row>
    <row r="220" spans="1:6" ht="29.25" hidden="1" customHeight="1" x14ac:dyDescent="0.3">
      <c r="A220" s="2" t="s">
        <v>377</v>
      </c>
      <c r="B220" s="10" t="s">
        <v>434</v>
      </c>
      <c r="C220" s="10" t="s">
        <v>51</v>
      </c>
      <c r="D220" s="74">
        <f>D221</f>
        <v>0</v>
      </c>
      <c r="E220" s="74">
        <f>E221</f>
        <v>0</v>
      </c>
      <c r="F220" s="72"/>
    </row>
    <row r="221" spans="1:6" ht="75" hidden="1" x14ac:dyDescent="0.3">
      <c r="A221" s="12" t="s">
        <v>57</v>
      </c>
      <c r="B221" s="10" t="s">
        <v>434</v>
      </c>
      <c r="C221" s="10" t="s">
        <v>58</v>
      </c>
      <c r="D221" s="74">
        <f>'В-26,27'!G397</f>
        <v>0</v>
      </c>
      <c r="E221" s="74">
        <f>'В-26,27'!H397</f>
        <v>0</v>
      </c>
      <c r="F221" s="72"/>
    </row>
    <row r="222" spans="1:6" ht="37.5" hidden="1" x14ac:dyDescent="0.3">
      <c r="A222" s="2" t="s">
        <v>381</v>
      </c>
      <c r="B222" s="10" t="s">
        <v>435</v>
      </c>
      <c r="C222" s="10" t="s">
        <v>51</v>
      </c>
      <c r="D222" s="74">
        <f>D223</f>
        <v>0</v>
      </c>
      <c r="E222" s="74">
        <f>E223</f>
        <v>0</v>
      </c>
      <c r="F222" s="72"/>
    </row>
    <row r="223" spans="1:6" ht="75" hidden="1" x14ac:dyDescent="0.3">
      <c r="A223" s="12" t="s">
        <v>57</v>
      </c>
      <c r="B223" s="10" t="s">
        <v>435</v>
      </c>
      <c r="C223" s="10" t="s">
        <v>58</v>
      </c>
      <c r="D223" s="74">
        <f>'[2]В-21'!G294</f>
        <v>0</v>
      </c>
      <c r="E223" s="74">
        <f>'[2]В-21'!H294</f>
        <v>0</v>
      </c>
      <c r="F223" s="72"/>
    </row>
    <row r="224" spans="1:6" ht="18.75" x14ac:dyDescent="0.3">
      <c r="A224" s="12" t="s">
        <v>63</v>
      </c>
      <c r="B224" s="10" t="s">
        <v>200</v>
      </c>
      <c r="C224" s="10" t="s">
        <v>51</v>
      </c>
      <c r="D224" s="74">
        <f>D225+D227</f>
        <v>88.5</v>
      </c>
      <c r="E224" s="74">
        <f>E225</f>
        <v>88.5</v>
      </c>
      <c r="F224" s="72"/>
    </row>
    <row r="225" spans="1:6" ht="18.75" x14ac:dyDescent="0.3">
      <c r="A225" s="12" t="s">
        <v>76</v>
      </c>
      <c r="B225" s="10" t="s">
        <v>201</v>
      </c>
      <c r="C225" s="10" t="s">
        <v>51</v>
      </c>
      <c r="D225" s="74">
        <f>D226</f>
        <v>88.5</v>
      </c>
      <c r="E225" s="74">
        <f>E226</f>
        <v>88.5</v>
      </c>
      <c r="F225" s="72"/>
    </row>
    <row r="226" spans="1:6" ht="37.5" x14ac:dyDescent="0.3">
      <c r="A226" s="12" t="s">
        <v>433</v>
      </c>
      <c r="B226" s="10" t="s">
        <v>201</v>
      </c>
      <c r="C226" s="10" t="s">
        <v>60</v>
      </c>
      <c r="D226" s="74">
        <f>'В-26,27'!G402</f>
        <v>88.5</v>
      </c>
      <c r="E226" s="74">
        <f>'В-26,27'!H402</f>
        <v>88.5</v>
      </c>
      <c r="F226" s="72"/>
    </row>
    <row r="227" spans="1:6" ht="18.75" hidden="1" outlineLevel="1" x14ac:dyDescent="0.3">
      <c r="A227" s="12" t="s">
        <v>65</v>
      </c>
      <c r="B227" s="10" t="s">
        <v>202</v>
      </c>
      <c r="C227" s="10" t="s">
        <v>51</v>
      </c>
      <c r="D227" s="74">
        <f>D228</f>
        <v>0</v>
      </c>
      <c r="E227" s="74">
        <f>E228</f>
        <v>0</v>
      </c>
      <c r="F227" s="72"/>
    </row>
    <row r="228" spans="1:6" ht="18.75" hidden="1" outlineLevel="1" x14ac:dyDescent="0.3">
      <c r="A228" s="12" t="s">
        <v>59</v>
      </c>
      <c r="B228" s="10" t="s">
        <v>202</v>
      </c>
      <c r="C228" s="10" t="s">
        <v>60</v>
      </c>
      <c r="D228" s="74">
        <f>'[2]В-21'!G299</f>
        <v>0</v>
      </c>
      <c r="E228" s="74">
        <f>'[2]В-21'!H299</f>
        <v>0</v>
      </c>
      <c r="F228" s="72"/>
    </row>
    <row r="229" spans="1:6" ht="39" collapsed="1" x14ac:dyDescent="0.35">
      <c r="A229" s="51" t="s">
        <v>145</v>
      </c>
      <c r="B229" s="49" t="s">
        <v>89</v>
      </c>
      <c r="C229" s="50" t="s">
        <v>51</v>
      </c>
      <c r="D229" s="94">
        <f>D230</f>
        <v>29035.899999999994</v>
      </c>
      <c r="E229" s="94">
        <f>E230</f>
        <v>30759.899999999998</v>
      </c>
      <c r="F229" s="72"/>
    </row>
    <row r="230" spans="1:6" ht="37.5" x14ac:dyDescent="0.3">
      <c r="A230" s="12" t="s">
        <v>53</v>
      </c>
      <c r="B230" s="10" t="s">
        <v>311</v>
      </c>
      <c r="C230" s="10" t="s">
        <v>51</v>
      </c>
      <c r="D230" s="74">
        <f>D231+D233++D235</f>
        <v>29035.899999999994</v>
      </c>
      <c r="E230" s="74">
        <f>E231+E233++E235</f>
        <v>30759.899999999998</v>
      </c>
      <c r="F230" s="72"/>
    </row>
    <row r="231" spans="1:6" ht="18.75" x14ac:dyDescent="0.3">
      <c r="A231" s="12" t="s">
        <v>310</v>
      </c>
      <c r="B231" s="10" t="s">
        <v>312</v>
      </c>
      <c r="C231" s="10" t="s">
        <v>51</v>
      </c>
      <c r="D231" s="74">
        <f>D232</f>
        <v>27577.799999999996</v>
      </c>
      <c r="E231" s="74">
        <f>E232</f>
        <v>29301.8</v>
      </c>
      <c r="F231" s="72"/>
    </row>
    <row r="232" spans="1:6" ht="37.5" x14ac:dyDescent="0.3">
      <c r="A232" s="12" t="s">
        <v>267</v>
      </c>
      <c r="B232" s="10" t="s">
        <v>312</v>
      </c>
      <c r="C232" s="10" t="s">
        <v>264</v>
      </c>
      <c r="D232" s="74">
        <f>'В-26,27'!G1060</f>
        <v>27577.799999999996</v>
      </c>
      <c r="E232" s="74">
        <f>'В-26,27'!H1060</f>
        <v>29301.8</v>
      </c>
      <c r="F232" s="72"/>
    </row>
    <row r="233" spans="1:6" ht="37.5" x14ac:dyDescent="0.3">
      <c r="A233" s="2" t="s">
        <v>377</v>
      </c>
      <c r="B233" s="10" t="s">
        <v>378</v>
      </c>
      <c r="C233" s="10" t="s">
        <v>51</v>
      </c>
      <c r="D233" s="74">
        <f>D234</f>
        <v>1458.1</v>
      </c>
      <c r="E233" s="74">
        <f>E234</f>
        <v>1458.1</v>
      </c>
      <c r="F233" s="72"/>
    </row>
    <row r="234" spans="1:6" ht="37.5" x14ac:dyDescent="0.3">
      <c r="A234" s="12" t="s">
        <v>267</v>
      </c>
      <c r="B234" s="10" t="s">
        <v>378</v>
      </c>
      <c r="C234" s="10" t="s">
        <v>264</v>
      </c>
      <c r="D234" s="74">
        <f>'В-26,27'!G1062</f>
        <v>1458.1</v>
      </c>
      <c r="E234" s="74">
        <f>'В-26,27'!H1062</f>
        <v>1458.1</v>
      </c>
      <c r="F234" s="72"/>
    </row>
    <row r="235" spans="1:6" ht="37.5" hidden="1" x14ac:dyDescent="0.3">
      <c r="A235" s="2" t="s">
        <v>381</v>
      </c>
      <c r="B235" s="10" t="s">
        <v>440</v>
      </c>
      <c r="C235" s="10" t="s">
        <v>51</v>
      </c>
      <c r="D235" s="74">
        <f>D236</f>
        <v>0</v>
      </c>
      <c r="E235" s="74">
        <f>E236</f>
        <v>0</v>
      </c>
      <c r="F235" s="72"/>
    </row>
    <row r="236" spans="1:6" ht="37.5" hidden="1" x14ac:dyDescent="0.3">
      <c r="A236" s="12" t="s">
        <v>267</v>
      </c>
      <c r="B236" s="10" t="s">
        <v>440</v>
      </c>
      <c r="C236" s="10" t="s">
        <v>264</v>
      </c>
      <c r="D236" s="74">
        <v>0</v>
      </c>
      <c r="E236" s="74">
        <v>0</v>
      </c>
      <c r="F236" s="72"/>
    </row>
    <row r="237" spans="1:6" ht="39" x14ac:dyDescent="0.35">
      <c r="A237" s="54" t="s">
        <v>146</v>
      </c>
      <c r="B237" s="49" t="s">
        <v>90</v>
      </c>
      <c r="C237" s="50" t="s">
        <v>51</v>
      </c>
      <c r="D237" s="94">
        <f>D238+D246</f>
        <v>7579.7999999999993</v>
      </c>
      <c r="E237" s="94">
        <f>E238+E246</f>
        <v>7580.0999999999995</v>
      </c>
      <c r="F237" s="72"/>
    </row>
    <row r="238" spans="1:6" ht="37.5" x14ac:dyDescent="0.3">
      <c r="A238" s="12" t="s">
        <v>53</v>
      </c>
      <c r="B238" s="10" t="s">
        <v>218</v>
      </c>
      <c r="C238" s="10" t="s">
        <v>51</v>
      </c>
      <c r="D238" s="74">
        <f>D239+D242+D244</f>
        <v>7382.4</v>
      </c>
      <c r="E238" s="74">
        <f>E239</f>
        <v>7382.4</v>
      </c>
      <c r="F238" s="72"/>
    </row>
    <row r="239" spans="1:6" ht="18.75" x14ac:dyDescent="0.3">
      <c r="A239" s="12" t="s">
        <v>217</v>
      </c>
      <c r="B239" s="10" t="s">
        <v>219</v>
      </c>
      <c r="C239" s="10" t="s">
        <v>51</v>
      </c>
      <c r="D239" s="74">
        <f>D240+D241</f>
        <v>7382.4</v>
      </c>
      <c r="E239" s="74">
        <f>E240+E241</f>
        <v>7382.4</v>
      </c>
      <c r="F239" s="72"/>
    </row>
    <row r="240" spans="1:6" ht="75" x14ac:dyDescent="0.3">
      <c r="A240" s="12" t="s">
        <v>57</v>
      </c>
      <c r="B240" s="10" t="s">
        <v>219</v>
      </c>
      <c r="C240" s="10" t="s">
        <v>58</v>
      </c>
      <c r="D240" s="74">
        <f>'В-26,27'!G489</f>
        <v>4424.6000000000004</v>
      </c>
      <c r="E240" s="74">
        <f>'В-26,27'!H489</f>
        <v>4424.6000000000004</v>
      </c>
      <c r="F240" s="72"/>
    </row>
    <row r="241" spans="1:6" ht="37.5" x14ac:dyDescent="0.3">
      <c r="A241" s="12" t="s">
        <v>433</v>
      </c>
      <c r="B241" s="10" t="s">
        <v>219</v>
      </c>
      <c r="C241" s="10" t="s">
        <v>60</v>
      </c>
      <c r="D241" s="74">
        <f>'В-26,27'!G490</f>
        <v>2957.7999999999997</v>
      </c>
      <c r="E241" s="74">
        <f>'В-26,27'!H490</f>
        <v>2957.7999999999997</v>
      </c>
      <c r="F241" s="72"/>
    </row>
    <row r="242" spans="1:6" ht="39.75" hidden="1" customHeight="1" x14ac:dyDescent="0.3">
      <c r="A242" s="2" t="s">
        <v>377</v>
      </c>
      <c r="B242" s="10" t="s">
        <v>436</v>
      </c>
      <c r="C242" s="10" t="s">
        <v>51</v>
      </c>
      <c r="D242" s="74">
        <f>D243</f>
        <v>0</v>
      </c>
      <c r="E242" s="74">
        <f>E243</f>
        <v>0</v>
      </c>
      <c r="F242" s="72"/>
    </row>
    <row r="243" spans="1:6" ht="75" hidden="1" x14ac:dyDescent="0.3">
      <c r="A243" s="12" t="s">
        <v>57</v>
      </c>
      <c r="B243" s="10" t="s">
        <v>436</v>
      </c>
      <c r="C243" s="10" t="s">
        <v>58</v>
      </c>
      <c r="D243" s="74">
        <f>'В-26,27'!G492</f>
        <v>0</v>
      </c>
      <c r="E243" s="74">
        <f>'В-26,27'!H492</f>
        <v>0</v>
      </c>
      <c r="F243" s="72">
        <f>D243+D248</f>
        <v>197.4</v>
      </c>
    </row>
    <row r="244" spans="1:6" ht="37.5" hidden="1" x14ac:dyDescent="0.3">
      <c r="A244" s="2" t="s">
        <v>381</v>
      </c>
      <c r="B244" s="10" t="s">
        <v>437</v>
      </c>
      <c r="C244" s="10" t="s">
        <v>51</v>
      </c>
      <c r="D244" s="74">
        <f>D245</f>
        <v>0</v>
      </c>
      <c r="E244" s="74">
        <f>E245</f>
        <v>0</v>
      </c>
      <c r="F244" s="72"/>
    </row>
    <row r="245" spans="1:6" ht="75" hidden="1" x14ac:dyDescent="0.3">
      <c r="A245" s="12" t="s">
        <v>57</v>
      </c>
      <c r="B245" s="10" t="s">
        <v>437</v>
      </c>
      <c r="C245" s="10" t="s">
        <v>58</v>
      </c>
      <c r="D245" s="74">
        <f>'[2]В-21'!G375</f>
        <v>0</v>
      </c>
      <c r="E245" s="74">
        <f>'[2]В-21'!H375</f>
        <v>0</v>
      </c>
      <c r="F245" s="72"/>
    </row>
    <row r="246" spans="1:6" ht="56.25" x14ac:dyDescent="0.3">
      <c r="A246" s="12" t="s">
        <v>174</v>
      </c>
      <c r="B246" s="10" t="s">
        <v>790</v>
      </c>
      <c r="C246" s="10" t="s">
        <v>51</v>
      </c>
      <c r="D246" s="74">
        <f>D247</f>
        <v>197.4</v>
      </c>
      <c r="E246" s="74">
        <f>E247</f>
        <v>197.7</v>
      </c>
      <c r="F246" s="72"/>
    </row>
    <row r="247" spans="1:6" ht="68.25" customHeight="1" x14ac:dyDescent="0.3">
      <c r="A247" s="68" t="s">
        <v>541</v>
      </c>
      <c r="B247" s="10" t="s">
        <v>791</v>
      </c>
      <c r="C247" s="10" t="s">
        <v>51</v>
      </c>
      <c r="D247" s="74">
        <f>D248</f>
        <v>197.4</v>
      </c>
      <c r="E247" s="74">
        <f>E248</f>
        <v>197.7</v>
      </c>
      <c r="F247" s="72"/>
    </row>
    <row r="248" spans="1:6" ht="40.5" customHeight="1" x14ac:dyDescent="0.3">
      <c r="A248" s="12" t="s">
        <v>433</v>
      </c>
      <c r="B248" s="10" t="s">
        <v>791</v>
      </c>
      <c r="C248" s="10" t="s">
        <v>60</v>
      </c>
      <c r="D248" s="74">
        <f>'В-26,27'!G497</f>
        <v>197.4</v>
      </c>
      <c r="E248" s="74">
        <f>'В-26,27'!H497</f>
        <v>197.7</v>
      </c>
      <c r="F248" s="72"/>
    </row>
    <row r="249" spans="1:6" ht="19.5" x14ac:dyDescent="0.35">
      <c r="A249" s="66" t="s">
        <v>417</v>
      </c>
      <c r="B249" s="49" t="s">
        <v>91</v>
      </c>
      <c r="C249" s="50" t="s">
        <v>51</v>
      </c>
      <c r="D249" s="94">
        <f>D252+D250+D272+D277</f>
        <v>3851.9</v>
      </c>
      <c r="E249" s="94">
        <f>E252+E250+E272+E277</f>
        <v>2132.6</v>
      </c>
      <c r="F249" s="72"/>
    </row>
    <row r="250" spans="1:6" ht="19.5" hidden="1" x14ac:dyDescent="0.35">
      <c r="A250" s="83" t="s">
        <v>566</v>
      </c>
      <c r="B250" s="10" t="s">
        <v>550</v>
      </c>
      <c r="C250" s="10" t="s">
        <v>51</v>
      </c>
      <c r="D250" s="94">
        <f>D251</f>
        <v>0</v>
      </c>
      <c r="E250" s="94">
        <f>E251</f>
        <v>0</v>
      </c>
      <c r="F250" s="72"/>
    </row>
    <row r="251" spans="1:6" ht="37.5" hidden="1" x14ac:dyDescent="0.3">
      <c r="A251" s="12" t="s">
        <v>267</v>
      </c>
      <c r="B251" s="10" t="s">
        <v>550</v>
      </c>
      <c r="C251" s="10" t="s">
        <v>264</v>
      </c>
      <c r="D251" s="74">
        <f>'В-26,27'!G989</f>
        <v>0</v>
      </c>
      <c r="E251" s="74">
        <f>'В-26,27'!H989</f>
        <v>0</v>
      </c>
      <c r="F251" s="72"/>
    </row>
    <row r="252" spans="1:6" ht="18.75" x14ac:dyDescent="0.3">
      <c r="A252" s="12" t="s">
        <v>63</v>
      </c>
      <c r="B252" s="10" t="s">
        <v>313</v>
      </c>
      <c r="C252" s="10" t="s">
        <v>51</v>
      </c>
      <c r="D252" s="74">
        <f>D254+D255+D258+D268+D262+D265+D274</f>
        <v>3724</v>
      </c>
      <c r="E252" s="74">
        <f>E253</f>
        <v>2000</v>
      </c>
      <c r="F252" s="72"/>
    </row>
    <row r="253" spans="1:6" ht="18.75" x14ac:dyDescent="0.3">
      <c r="A253" s="12" t="s">
        <v>314</v>
      </c>
      <c r="B253" s="10" t="s">
        <v>315</v>
      </c>
      <c r="C253" s="10" t="s">
        <v>51</v>
      </c>
      <c r="D253" s="74">
        <f>D254</f>
        <v>3724</v>
      </c>
      <c r="E253" s="74">
        <f>E254</f>
        <v>2000</v>
      </c>
      <c r="F253" s="72"/>
    </row>
    <row r="254" spans="1:6" ht="37.5" x14ac:dyDescent="0.3">
      <c r="A254" s="12" t="s">
        <v>267</v>
      </c>
      <c r="B254" s="10" t="s">
        <v>315</v>
      </c>
      <c r="C254" s="10" t="s">
        <v>264</v>
      </c>
      <c r="D254" s="74">
        <f>'В-26,27'!G1067</f>
        <v>3724</v>
      </c>
      <c r="E254" s="74">
        <f>'В-26,27'!H1067</f>
        <v>2000</v>
      </c>
      <c r="F254" s="72"/>
    </row>
    <row r="255" spans="1:6" ht="56.25" hidden="1" x14ac:dyDescent="0.3">
      <c r="A255" s="12" t="s">
        <v>316</v>
      </c>
      <c r="B255" s="10" t="s">
        <v>317</v>
      </c>
      <c r="C255" s="10" t="s">
        <v>51</v>
      </c>
      <c r="D255" s="74">
        <f>D256+D257</f>
        <v>0</v>
      </c>
      <c r="E255" s="74">
        <f>E256+E257</f>
        <v>0</v>
      </c>
      <c r="F255" s="72"/>
    </row>
    <row r="256" spans="1:6" ht="37.5" hidden="1" x14ac:dyDescent="0.3">
      <c r="A256" s="12" t="s">
        <v>433</v>
      </c>
      <c r="B256" s="10" t="s">
        <v>317</v>
      </c>
      <c r="C256" s="10" t="s">
        <v>60</v>
      </c>
      <c r="D256" s="74">
        <f>'В-26,27'!G1069</f>
        <v>0</v>
      </c>
      <c r="E256" s="74">
        <f>'В-26,27'!H1069</f>
        <v>0</v>
      </c>
      <c r="F256" s="72"/>
    </row>
    <row r="257" spans="1:6" ht="37.5" hidden="1" x14ac:dyDescent="0.3">
      <c r="A257" s="12" t="s">
        <v>267</v>
      </c>
      <c r="B257" s="10" t="s">
        <v>317</v>
      </c>
      <c r="C257" s="10" t="s">
        <v>264</v>
      </c>
      <c r="D257" s="74">
        <f>'В-26,27'!G1095</f>
        <v>0</v>
      </c>
      <c r="E257" s="74">
        <f>'В-26,27'!H1095</f>
        <v>0</v>
      </c>
      <c r="F257" s="72"/>
    </row>
    <row r="258" spans="1:6" ht="18.75" hidden="1" x14ac:dyDescent="0.3">
      <c r="A258" s="33" t="s">
        <v>391</v>
      </c>
      <c r="B258" s="29" t="s">
        <v>392</v>
      </c>
      <c r="C258" s="29" t="s">
        <v>51</v>
      </c>
      <c r="D258" s="74">
        <f>D259</f>
        <v>0</v>
      </c>
      <c r="E258" s="74">
        <f>E259</f>
        <v>0</v>
      </c>
      <c r="F258" s="72"/>
    </row>
    <row r="259" spans="1:6" ht="37.5" hidden="1" x14ac:dyDescent="0.3">
      <c r="A259" s="12" t="s">
        <v>433</v>
      </c>
      <c r="B259" s="29" t="s">
        <v>392</v>
      </c>
      <c r="C259" s="29" t="s">
        <v>60</v>
      </c>
      <c r="D259" s="74">
        <f>'[2]В-21'!G303</f>
        <v>0</v>
      </c>
      <c r="E259" s="74">
        <f>'[2]В-21'!H303</f>
        <v>0</v>
      </c>
      <c r="F259" s="72"/>
    </row>
    <row r="260" spans="1:6" ht="56.25" hidden="1" outlineLevel="1" x14ac:dyDescent="0.3">
      <c r="A260" s="12" t="s">
        <v>411</v>
      </c>
      <c r="B260" s="10" t="s">
        <v>412</v>
      </c>
      <c r="C260" s="10" t="s">
        <v>51</v>
      </c>
      <c r="D260" s="74">
        <v>0</v>
      </c>
      <c r="E260" s="74">
        <v>0</v>
      </c>
      <c r="F260" s="72"/>
    </row>
    <row r="261" spans="1:6" ht="37.5" hidden="1" outlineLevel="1" x14ac:dyDescent="0.3">
      <c r="A261" s="12" t="s">
        <v>267</v>
      </c>
      <c r="B261" s="10" t="s">
        <v>412</v>
      </c>
      <c r="C261" s="10" t="s">
        <v>264</v>
      </c>
      <c r="D261" s="74">
        <v>0</v>
      </c>
      <c r="E261" s="74">
        <v>0</v>
      </c>
      <c r="F261" s="72"/>
    </row>
    <row r="262" spans="1:6" ht="18.75" hidden="1" x14ac:dyDescent="0.3">
      <c r="A262" s="33" t="s">
        <v>443</v>
      </c>
      <c r="B262" s="29" t="s">
        <v>444</v>
      </c>
      <c r="C262" s="29" t="s">
        <v>51</v>
      </c>
      <c r="D262" s="74">
        <f>D263+D264</f>
        <v>0</v>
      </c>
      <c r="E262" s="74">
        <f>E263+E264</f>
        <v>0</v>
      </c>
      <c r="F262" s="72"/>
    </row>
    <row r="263" spans="1:6" ht="75" hidden="1" x14ac:dyDescent="0.3">
      <c r="A263" s="33" t="s">
        <v>57</v>
      </c>
      <c r="B263" s="29" t="s">
        <v>444</v>
      </c>
      <c r="C263" s="29" t="s">
        <v>58</v>
      </c>
      <c r="D263" s="74">
        <f>'[2]В-21'!G305</f>
        <v>0</v>
      </c>
      <c r="E263" s="74">
        <f>'[2]В-21'!H305</f>
        <v>0</v>
      </c>
      <c r="F263" s="72"/>
    </row>
    <row r="264" spans="1:6" ht="39.75" hidden="1" customHeight="1" x14ac:dyDescent="0.3">
      <c r="A264" s="12" t="s">
        <v>433</v>
      </c>
      <c r="B264" s="29" t="s">
        <v>444</v>
      </c>
      <c r="C264" s="29" t="s">
        <v>60</v>
      </c>
      <c r="D264" s="74">
        <f>'[2]В-21'!G306</f>
        <v>0</v>
      </c>
      <c r="E264" s="74">
        <f>'[2]В-21'!H306</f>
        <v>0</v>
      </c>
      <c r="F264" s="72"/>
    </row>
    <row r="265" spans="1:6" ht="39.75" hidden="1" customHeight="1" x14ac:dyDescent="0.3">
      <c r="A265" s="12" t="s">
        <v>492</v>
      </c>
      <c r="B265" s="29" t="s">
        <v>493</v>
      </c>
      <c r="C265" s="29" t="s">
        <v>51</v>
      </c>
      <c r="D265" s="74">
        <f>D266+D267</f>
        <v>0</v>
      </c>
      <c r="E265" s="74">
        <f>E266+E267</f>
        <v>0</v>
      </c>
      <c r="F265" s="72"/>
    </row>
    <row r="266" spans="1:6" ht="78" hidden="1" customHeight="1" x14ac:dyDescent="0.3">
      <c r="A266" s="12" t="s">
        <v>57</v>
      </c>
      <c r="B266" s="29" t="s">
        <v>493</v>
      </c>
      <c r="C266" s="29" t="s">
        <v>58</v>
      </c>
      <c r="D266" s="74">
        <f>'[2]В-21'!G308</f>
        <v>0</v>
      </c>
      <c r="E266" s="74">
        <f>'[2]В-21'!H308</f>
        <v>0</v>
      </c>
      <c r="F266" s="72"/>
    </row>
    <row r="267" spans="1:6" ht="39.75" hidden="1" customHeight="1" x14ac:dyDescent="0.3">
      <c r="A267" s="12" t="s">
        <v>433</v>
      </c>
      <c r="B267" s="29" t="s">
        <v>493</v>
      </c>
      <c r="C267" s="29" t="s">
        <v>60</v>
      </c>
      <c r="D267" s="74">
        <f>'[2]В-21'!G309</f>
        <v>0</v>
      </c>
      <c r="E267" s="74">
        <f>'[2]В-21'!H309</f>
        <v>0</v>
      </c>
      <c r="F267" s="72"/>
    </row>
    <row r="268" spans="1:6" ht="18.75" hidden="1" customHeight="1" x14ac:dyDescent="0.3">
      <c r="A268" s="12" t="s">
        <v>393</v>
      </c>
      <c r="B268" s="10" t="s">
        <v>424</v>
      </c>
      <c r="C268" s="10" t="s">
        <v>51</v>
      </c>
      <c r="D268" s="74">
        <f>D269</f>
        <v>0</v>
      </c>
      <c r="E268" s="74">
        <f>E269</f>
        <v>0</v>
      </c>
      <c r="F268" s="72"/>
    </row>
    <row r="269" spans="1:6" ht="37.5" hidden="1" customHeight="1" x14ac:dyDescent="0.3">
      <c r="A269" s="12" t="s">
        <v>433</v>
      </c>
      <c r="B269" s="10" t="s">
        <v>424</v>
      </c>
      <c r="C269" s="10" t="s">
        <v>60</v>
      </c>
      <c r="D269" s="74">
        <f>'[2]В-21'!G311</f>
        <v>0</v>
      </c>
      <c r="E269" s="74">
        <f>'[2]В-21'!H311</f>
        <v>0</v>
      </c>
      <c r="F269" s="72"/>
    </row>
    <row r="270" spans="1:6" ht="18.75" hidden="1" customHeight="1" x14ac:dyDescent="0.3">
      <c r="A270" s="12" t="s">
        <v>505</v>
      </c>
      <c r="B270" s="11" t="s">
        <v>506</v>
      </c>
      <c r="C270" s="10" t="s">
        <v>51</v>
      </c>
      <c r="D270" s="74">
        <f>D271</f>
        <v>0</v>
      </c>
      <c r="E270" s="74">
        <f>E271</f>
        <v>0</v>
      </c>
      <c r="F270" s="72"/>
    </row>
    <row r="271" spans="1:6" ht="37.5" hidden="1" customHeight="1" x14ac:dyDescent="0.3">
      <c r="A271" s="12" t="s">
        <v>433</v>
      </c>
      <c r="B271" s="11" t="s">
        <v>506</v>
      </c>
      <c r="C271" s="10" t="s">
        <v>60</v>
      </c>
      <c r="D271" s="74">
        <f>'[2]В-21'!G746</f>
        <v>0</v>
      </c>
      <c r="E271" s="74">
        <f>'[2]В-21'!H746</f>
        <v>0</v>
      </c>
      <c r="F271" s="72"/>
    </row>
    <row r="272" spans="1:6" ht="30" hidden="1" customHeight="1" x14ac:dyDescent="0.3">
      <c r="A272" s="83" t="s">
        <v>566</v>
      </c>
      <c r="B272" s="10" t="s">
        <v>565</v>
      </c>
      <c r="C272" s="10" t="s">
        <v>51</v>
      </c>
      <c r="D272" s="74">
        <f>D273</f>
        <v>0</v>
      </c>
      <c r="E272" s="74">
        <f>E273</f>
        <v>0</v>
      </c>
      <c r="F272" s="72"/>
    </row>
    <row r="273" spans="1:6" ht="37.5" hidden="1" customHeight="1" x14ac:dyDescent="0.3">
      <c r="A273" s="12" t="s">
        <v>267</v>
      </c>
      <c r="B273" s="10" t="s">
        <v>565</v>
      </c>
      <c r="C273" s="10" t="s">
        <v>264</v>
      </c>
      <c r="D273" s="74">
        <f>'В-26,27'!G992</f>
        <v>0</v>
      </c>
      <c r="E273" s="74">
        <f>'В-26,27'!H992</f>
        <v>0</v>
      </c>
      <c r="F273" s="72"/>
    </row>
    <row r="274" spans="1:6" ht="37.5" hidden="1" customHeight="1" x14ac:dyDescent="0.3">
      <c r="A274" s="12" t="s">
        <v>492</v>
      </c>
      <c r="B274" s="29" t="s">
        <v>493</v>
      </c>
      <c r="C274" s="10" t="s">
        <v>51</v>
      </c>
      <c r="D274" s="74">
        <f>D275+D276</f>
        <v>0</v>
      </c>
      <c r="E274" s="74">
        <f>E275+E276</f>
        <v>0</v>
      </c>
      <c r="F274" s="72"/>
    </row>
    <row r="275" spans="1:6" ht="37.5" hidden="1" customHeight="1" x14ac:dyDescent="0.3">
      <c r="A275" s="12" t="s">
        <v>57</v>
      </c>
      <c r="B275" s="29" t="s">
        <v>493</v>
      </c>
      <c r="C275" s="10" t="s">
        <v>58</v>
      </c>
      <c r="D275" s="74">
        <f>'В-26,27'!G413</f>
        <v>0</v>
      </c>
      <c r="E275" s="74">
        <f>'В-26,27'!H413</f>
        <v>0</v>
      </c>
      <c r="F275" s="72"/>
    </row>
    <row r="276" spans="1:6" ht="37.5" hidden="1" customHeight="1" x14ac:dyDescent="0.3">
      <c r="A276" s="12" t="s">
        <v>433</v>
      </c>
      <c r="B276" s="29" t="s">
        <v>493</v>
      </c>
      <c r="C276" s="10" t="s">
        <v>60</v>
      </c>
      <c r="D276" s="74">
        <f>'В-26,27'!G414</f>
        <v>0</v>
      </c>
      <c r="E276" s="74">
        <f>'В-26,27'!H414</f>
        <v>0</v>
      </c>
      <c r="F276" s="72"/>
    </row>
    <row r="277" spans="1:6" ht="27.75" customHeight="1" x14ac:dyDescent="0.3">
      <c r="A277" s="12" t="s">
        <v>393</v>
      </c>
      <c r="B277" s="10" t="s">
        <v>785</v>
      </c>
      <c r="C277" s="10" t="s">
        <v>51</v>
      </c>
      <c r="D277" s="74">
        <f>D278</f>
        <v>127.89999999999999</v>
      </c>
      <c r="E277" s="74">
        <f>E278</f>
        <v>132.6</v>
      </c>
      <c r="F277" s="72"/>
    </row>
    <row r="278" spans="1:6" ht="37.5" customHeight="1" x14ac:dyDescent="0.3">
      <c r="A278" s="12" t="s">
        <v>433</v>
      </c>
      <c r="B278" s="10" t="s">
        <v>785</v>
      </c>
      <c r="C278" s="10" t="s">
        <v>60</v>
      </c>
      <c r="D278" s="74">
        <f>'В-26,27'!G416</f>
        <v>127.89999999999999</v>
      </c>
      <c r="E278" s="74">
        <f>'В-26,27'!H416</f>
        <v>132.6</v>
      </c>
      <c r="F278" s="72"/>
    </row>
    <row r="279" spans="1:6" ht="61.5" customHeight="1" x14ac:dyDescent="0.3">
      <c r="A279" s="5" t="s">
        <v>160</v>
      </c>
      <c r="B279" s="15" t="s">
        <v>92</v>
      </c>
      <c r="C279" s="8" t="s">
        <v>51</v>
      </c>
      <c r="D279" s="93">
        <f>D280+D285+D291</f>
        <v>47288.7</v>
      </c>
      <c r="E279" s="93">
        <f>E280</f>
        <v>47288.7</v>
      </c>
      <c r="F279" s="72"/>
    </row>
    <row r="280" spans="1:6" ht="36.75" customHeight="1" x14ac:dyDescent="0.3">
      <c r="A280" s="12" t="s">
        <v>53</v>
      </c>
      <c r="B280" s="10" t="s">
        <v>361</v>
      </c>
      <c r="C280" s="10" t="s">
        <v>51</v>
      </c>
      <c r="D280" s="74">
        <f>D281+D283+D294</f>
        <v>47288.7</v>
      </c>
      <c r="E280" s="74">
        <f>E281+E283+E294</f>
        <v>47288.7</v>
      </c>
      <c r="F280" s="72"/>
    </row>
    <row r="281" spans="1:6" ht="25.5" customHeight="1" x14ac:dyDescent="0.3">
      <c r="A281" s="12" t="s">
        <v>390</v>
      </c>
      <c r="B281" s="10" t="s">
        <v>362</v>
      </c>
      <c r="C281" s="10" t="s">
        <v>51</v>
      </c>
      <c r="D281" s="74">
        <f>D282</f>
        <v>46488.7</v>
      </c>
      <c r="E281" s="74">
        <f>E282</f>
        <v>46488.7</v>
      </c>
      <c r="F281" s="72"/>
    </row>
    <row r="282" spans="1:6" ht="42.75" customHeight="1" x14ac:dyDescent="0.3">
      <c r="A282" s="12" t="s">
        <v>267</v>
      </c>
      <c r="B282" s="10" t="s">
        <v>362</v>
      </c>
      <c r="C282" s="10" t="s">
        <v>264</v>
      </c>
      <c r="D282" s="74">
        <f>'В-26,27'!G1212</f>
        <v>46488.7</v>
      </c>
      <c r="E282" s="74">
        <f>'В-26,27'!H1212</f>
        <v>46488.7</v>
      </c>
      <c r="F282" s="72"/>
    </row>
    <row r="283" spans="1:6" ht="36.75" hidden="1" customHeight="1" x14ac:dyDescent="0.3">
      <c r="A283" s="2" t="s">
        <v>377</v>
      </c>
      <c r="B283" s="10" t="s">
        <v>519</v>
      </c>
      <c r="C283" s="10" t="s">
        <v>51</v>
      </c>
      <c r="D283" s="74">
        <f>D284</f>
        <v>0</v>
      </c>
      <c r="E283" s="74">
        <f>E284</f>
        <v>0</v>
      </c>
      <c r="F283" s="72"/>
    </row>
    <row r="284" spans="1:6" ht="36.75" hidden="1" customHeight="1" x14ac:dyDescent="0.3">
      <c r="A284" s="12" t="s">
        <v>267</v>
      </c>
      <c r="B284" s="10" t="s">
        <v>519</v>
      </c>
      <c r="C284" s="10" t="s">
        <v>264</v>
      </c>
      <c r="D284" s="74">
        <f>'В-26,27'!G1214</f>
        <v>0</v>
      </c>
      <c r="E284" s="74">
        <f>'В-26,27'!H1214</f>
        <v>0</v>
      </c>
      <c r="F284" s="72"/>
    </row>
    <row r="285" spans="1:6" ht="27.75" hidden="1" customHeight="1" x14ac:dyDescent="0.3">
      <c r="A285" s="12" t="s">
        <v>63</v>
      </c>
      <c r="B285" s="10" t="s">
        <v>334</v>
      </c>
      <c r="C285" s="10" t="s">
        <v>51</v>
      </c>
      <c r="D285" s="74">
        <f>D286</f>
        <v>0</v>
      </c>
      <c r="E285" s="74">
        <f>E286</f>
        <v>0</v>
      </c>
      <c r="F285" s="72"/>
    </row>
    <row r="286" spans="1:6" ht="22.5" hidden="1" customHeight="1" x14ac:dyDescent="0.3">
      <c r="A286" s="12" t="s">
        <v>333</v>
      </c>
      <c r="B286" s="10" t="s">
        <v>335</v>
      </c>
      <c r="C286" s="10" t="s">
        <v>51</v>
      </c>
      <c r="D286" s="74">
        <f>D287+D288+D289</f>
        <v>0</v>
      </c>
      <c r="E286" s="74">
        <f>E287+E288+E289</f>
        <v>0</v>
      </c>
      <c r="F286" s="72"/>
    </row>
    <row r="287" spans="1:6" ht="78.75" hidden="1" customHeight="1" outlineLevel="1" x14ac:dyDescent="0.3">
      <c r="A287" s="12" t="s">
        <v>57</v>
      </c>
      <c r="B287" s="10" t="s">
        <v>335</v>
      </c>
      <c r="C287" s="10" t="s">
        <v>58</v>
      </c>
      <c r="D287" s="74">
        <f>'В-26,27'!G1200</f>
        <v>0</v>
      </c>
      <c r="E287" s="74">
        <f>'В-26,27'!H1200</f>
        <v>0</v>
      </c>
      <c r="F287" s="72"/>
    </row>
    <row r="288" spans="1:6" ht="38.25" hidden="1" customHeight="1" x14ac:dyDescent="0.3">
      <c r="A288" s="12" t="s">
        <v>433</v>
      </c>
      <c r="B288" s="10" t="s">
        <v>335</v>
      </c>
      <c r="C288" s="10" t="s">
        <v>60</v>
      </c>
      <c r="D288" s="74">
        <f>'[2]В-21'!G838+'[2]В-21'!G240</f>
        <v>0</v>
      </c>
      <c r="E288" s="74">
        <f>'[2]В-21'!H838+'[2]В-21'!H240</f>
        <v>0</v>
      </c>
      <c r="F288" s="72"/>
    </row>
    <row r="289" spans="1:6" ht="38.25" hidden="1" customHeight="1" x14ac:dyDescent="0.3">
      <c r="A289" s="12" t="s">
        <v>267</v>
      </c>
      <c r="B289" s="10" t="s">
        <v>335</v>
      </c>
      <c r="C289" s="10" t="s">
        <v>264</v>
      </c>
      <c r="D289" s="74">
        <v>0</v>
      </c>
      <c r="E289" s="74">
        <v>0</v>
      </c>
      <c r="F289" s="72"/>
    </row>
    <row r="290" spans="1:6" ht="21.75" hidden="1" customHeight="1" x14ac:dyDescent="0.3">
      <c r="A290" s="12" t="s">
        <v>419</v>
      </c>
      <c r="B290" s="60" t="s">
        <v>418</v>
      </c>
      <c r="C290" s="10" t="s">
        <v>51</v>
      </c>
      <c r="D290" s="74">
        <f t="shared" ref="D290:E292" si="3">D291</f>
        <v>0</v>
      </c>
      <c r="E290" s="74">
        <f t="shared" si="3"/>
        <v>0</v>
      </c>
      <c r="F290" s="72"/>
    </row>
    <row r="291" spans="1:6" ht="26.25" hidden="1" customHeight="1" x14ac:dyDescent="0.3">
      <c r="A291" s="59" t="s">
        <v>420</v>
      </c>
      <c r="B291" s="11" t="s">
        <v>366</v>
      </c>
      <c r="C291" s="11" t="s">
        <v>51</v>
      </c>
      <c r="D291" s="74">
        <f t="shared" si="3"/>
        <v>0</v>
      </c>
      <c r="E291" s="74">
        <f t="shared" si="3"/>
        <v>0</v>
      </c>
      <c r="F291" s="72"/>
    </row>
    <row r="292" spans="1:6" ht="75" hidden="1" x14ac:dyDescent="0.3">
      <c r="A292" s="59" t="s">
        <v>365</v>
      </c>
      <c r="B292" s="11" t="s">
        <v>367</v>
      </c>
      <c r="C292" s="11" t="s">
        <v>51</v>
      </c>
      <c r="D292" s="74">
        <f t="shared" si="3"/>
        <v>0</v>
      </c>
      <c r="E292" s="74">
        <f t="shared" si="3"/>
        <v>0</v>
      </c>
      <c r="F292" s="72"/>
    </row>
    <row r="293" spans="1:6" ht="37.5" hidden="1" x14ac:dyDescent="0.3">
      <c r="A293" s="59" t="s">
        <v>267</v>
      </c>
      <c r="B293" s="11" t="s">
        <v>367</v>
      </c>
      <c r="C293" s="10" t="s">
        <v>264</v>
      </c>
      <c r="D293" s="74">
        <f>'[2]В-21'!G855</f>
        <v>0</v>
      </c>
      <c r="E293" s="74">
        <f>'[2]В-21'!H855</f>
        <v>0</v>
      </c>
      <c r="F293" s="72"/>
    </row>
    <row r="294" spans="1:6" ht="18.75" x14ac:dyDescent="0.3">
      <c r="A294" s="88" t="s">
        <v>869</v>
      </c>
      <c r="B294" s="11" t="s">
        <v>870</v>
      </c>
      <c r="C294" s="10" t="s">
        <v>51</v>
      </c>
      <c r="D294" s="74">
        <f>D295</f>
        <v>800</v>
      </c>
      <c r="E294" s="74">
        <f>E295</f>
        <v>800</v>
      </c>
      <c r="F294" s="72"/>
    </row>
    <row r="295" spans="1:6" ht="37.5" x14ac:dyDescent="0.3">
      <c r="A295" s="124" t="s">
        <v>267</v>
      </c>
      <c r="B295" s="11" t="s">
        <v>870</v>
      </c>
      <c r="C295" s="10" t="s">
        <v>264</v>
      </c>
      <c r="D295" s="74">
        <f>'В-26,27'!G1236</f>
        <v>800</v>
      </c>
      <c r="E295" s="74">
        <f>'В-26,27'!H1236</f>
        <v>800</v>
      </c>
      <c r="F295" s="72"/>
    </row>
    <row r="296" spans="1:6" ht="56.25" x14ac:dyDescent="0.3">
      <c r="A296" s="5" t="s">
        <v>0</v>
      </c>
      <c r="B296" s="15" t="s">
        <v>93</v>
      </c>
      <c r="C296" s="8" t="s">
        <v>51</v>
      </c>
      <c r="D296" s="93">
        <f>D297+D313+D334+D352+D358</f>
        <v>38707.22</v>
      </c>
      <c r="E296" s="93">
        <f>E297+E313+E334+E352+E358</f>
        <v>36947.619999999995</v>
      </c>
      <c r="F296" s="72"/>
    </row>
    <row r="297" spans="1:6" ht="39" x14ac:dyDescent="0.35">
      <c r="A297" s="51" t="s">
        <v>1</v>
      </c>
      <c r="B297" s="49" t="s">
        <v>94</v>
      </c>
      <c r="C297" s="50" t="s">
        <v>51</v>
      </c>
      <c r="D297" s="94">
        <f>D302+D298+D309+D311</f>
        <v>1279.01</v>
      </c>
      <c r="E297" s="94">
        <f>E302+E298+E309+E311</f>
        <v>1279.01</v>
      </c>
      <c r="F297" s="72"/>
    </row>
    <row r="298" spans="1:6" ht="18.75" hidden="1" x14ac:dyDescent="0.3">
      <c r="A298" s="12" t="s">
        <v>63</v>
      </c>
      <c r="B298" s="10" t="s">
        <v>409</v>
      </c>
      <c r="C298" s="10" t="s">
        <v>51</v>
      </c>
      <c r="D298" s="74">
        <f>D299</f>
        <v>0</v>
      </c>
      <c r="E298" s="74">
        <f>E299</f>
        <v>0</v>
      </c>
      <c r="F298" s="72"/>
    </row>
    <row r="299" spans="1:6" ht="18.75" hidden="1" x14ac:dyDescent="0.3">
      <c r="A299" s="12" t="s">
        <v>157</v>
      </c>
      <c r="B299" s="10" t="s">
        <v>410</v>
      </c>
      <c r="C299" s="10" t="s">
        <v>51</v>
      </c>
      <c r="D299" s="74">
        <f>D300+D301</f>
        <v>0</v>
      </c>
      <c r="E299" s="74">
        <f>E300+E301</f>
        <v>0</v>
      </c>
      <c r="F299" s="72"/>
    </row>
    <row r="300" spans="1:6" ht="75" hidden="1" x14ac:dyDescent="0.3">
      <c r="A300" s="12" t="s">
        <v>57</v>
      </c>
      <c r="B300" s="10" t="s">
        <v>410</v>
      </c>
      <c r="C300" s="10" t="s">
        <v>58</v>
      </c>
      <c r="D300" s="74">
        <f>'В-26,27'!G610</f>
        <v>0</v>
      </c>
      <c r="E300" s="74">
        <f>'В-26,27'!H610</f>
        <v>0</v>
      </c>
      <c r="F300" s="72"/>
    </row>
    <row r="301" spans="1:6" ht="37.5" hidden="1" x14ac:dyDescent="0.3">
      <c r="A301" s="12" t="s">
        <v>433</v>
      </c>
      <c r="B301" s="10" t="s">
        <v>410</v>
      </c>
      <c r="C301" s="10" t="s">
        <v>60</v>
      </c>
      <c r="D301" s="74">
        <f>'В-26,27'!G611</f>
        <v>0</v>
      </c>
      <c r="E301" s="74">
        <f>'В-26,27'!H611</f>
        <v>0</v>
      </c>
      <c r="F301" s="72"/>
    </row>
    <row r="302" spans="1:6" ht="56.25" x14ac:dyDescent="0.3">
      <c r="A302" s="12" t="s">
        <v>174</v>
      </c>
      <c r="B302" s="10" t="s">
        <v>786</v>
      </c>
      <c r="C302" s="10" t="s">
        <v>51</v>
      </c>
      <c r="D302" s="74">
        <f>D303+D306</f>
        <v>1252</v>
      </c>
      <c r="E302" s="74">
        <f>E303+E306</f>
        <v>1252</v>
      </c>
      <c r="F302" s="72"/>
    </row>
    <row r="303" spans="1:6" ht="18.75" hidden="1" outlineLevel="1" x14ac:dyDescent="0.3">
      <c r="A303" s="12" t="s">
        <v>208</v>
      </c>
      <c r="B303" s="10" t="s">
        <v>209</v>
      </c>
      <c r="C303" s="10" t="s">
        <v>51</v>
      </c>
      <c r="D303" s="74">
        <f>D304+D305</f>
        <v>0</v>
      </c>
      <c r="E303" s="74">
        <f>E304+E305</f>
        <v>0</v>
      </c>
      <c r="F303" s="72"/>
    </row>
    <row r="304" spans="1:6" ht="75" hidden="1" outlineLevel="1" x14ac:dyDescent="0.3">
      <c r="A304" s="12" t="s">
        <v>57</v>
      </c>
      <c r="B304" s="10" t="s">
        <v>209</v>
      </c>
      <c r="C304" s="10" t="s">
        <v>58</v>
      </c>
      <c r="D304" s="74">
        <v>0</v>
      </c>
      <c r="E304" s="74">
        <v>0</v>
      </c>
      <c r="F304" s="72"/>
    </row>
    <row r="305" spans="1:6" ht="18.75" hidden="1" outlineLevel="1" x14ac:dyDescent="0.3">
      <c r="A305" s="12" t="s">
        <v>59</v>
      </c>
      <c r="B305" s="10" t="s">
        <v>209</v>
      </c>
      <c r="C305" s="10" t="s">
        <v>60</v>
      </c>
      <c r="D305" s="74">
        <v>0</v>
      </c>
      <c r="E305" s="74">
        <v>0</v>
      </c>
      <c r="F305" s="72"/>
    </row>
    <row r="306" spans="1:6" ht="93.75" collapsed="1" x14ac:dyDescent="0.3">
      <c r="A306" s="12" t="s">
        <v>540</v>
      </c>
      <c r="B306" s="10" t="s">
        <v>787</v>
      </c>
      <c r="C306" s="10" t="s">
        <v>51</v>
      </c>
      <c r="D306" s="74">
        <f>D307+D308</f>
        <v>1252</v>
      </c>
      <c r="E306" s="74">
        <f>E307+E308</f>
        <v>1252</v>
      </c>
      <c r="F306" s="72"/>
    </row>
    <row r="307" spans="1:6" ht="75" x14ac:dyDescent="0.3">
      <c r="A307" s="12" t="s">
        <v>57</v>
      </c>
      <c r="B307" s="10" t="s">
        <v>787</v>
      </c>
      <c r="C307" s="10" t="s">
        <v>58</v>
      </c>
      <c r="D307" s="74">
        <f>'В-26,27'!G451</f>
        <v>1176</v>
      </c>
      <c r="E307" s="74">
        <f>'В-26,27'!H451</f>
        <v>1176</v>
      </c>
      <c r="F307" s="72"/>
    </row>
    <row r="308" spans="1:6" ht="37.5" x14ac:dyDescent="0.3">
      <c r="A308" s="12" t="s">
        <v>433</v>
      </c>
      <c r="B308" s="10" t="s">
        <v>787</v>
      </c>
      <c r="C308" s="10" t="s">
        <v>60</v>
      </c>
      <c r="D308" s="74">
        <f>'В-26,27'!G452</f>
        <v>76</v>
      </c>
      <c r="E308" s="74">
        <f>'В-26,27'!H452</f>
        <v>76</v>
      </c>
      <c r="F308" s="72"/>
    </row>
    <row r="309" spans="1:6" ht="18.75" x14ac:dyDescent="0.3">
      <c r="A309" s="124" t="s">
        <v>766</v>
      </c>
      <c r="B309" s="10" t="s">
        <v>793</v>
      </c>
      <c r="C309" s="10" t="s">
        <v>51</v>
      </c>
      <c r="D309" s="74">
        <f>D310</f>
        <v>26.61</v>
      </c>
      <c r="E309" s="74">
        <f>E310</f>
        <v>26.61</v>
      </c>
      <c r="F309" s="72"/>
    </row>
    <row r="310" spans="1:6" ht="75" x14ac:dyDescent="0.3">
      <c r="A310" s="124" t="s">
        <v>57</v>
      </c>
      <c r="B310" s="10" t="s">
        <v>793</v>
      </c>
      <c r="C310" s="10" t="s">
        <v>58</v>
      </c>
      <c r="D310" s="74">
        <f>'В-26,27'!G613</f>
        <v>26.61</v>
      </c>
      <c r="E310" s="74">
        <f>'В-26,27'!H613</f>
        <v>26.61</v>
      </c>
      <c r="F310" s="72"/>
    </row>
    <row r="311" spans="1:6" ht="18.75" x14ac:dyDescent="0.3">
      <c r="A311" s="124" t="s">
        <v>766</v>
      </c>
      <c r="B311" s="10" t="s">
        <v>794</v>
      </c>
      <c r="C311" s="10" t="s">
        <v>51</v>
      </c>
      <c r="D311" s="74">
        <f>D312</f>
        <v>0.4</v>
      </c>
      <c r="E311" s="74">
        <f>E312</f>
        <v>0.4</v>
      </c>
      <c r="F311" s="72"/>
    </row>
    <row r="312" spans="1:6" ht="75" x14ac:dyDescent="0.3">
      <c r="A312" s="124" t="s">
        <v>57</v>
      </c>
      <c r="B312" s="10" t="s">
        <v>794</v>
      </c>
      <c r="C312" s="10" t="s">
        <v>58</v>
      </c>
      <c r="D312" s="74">
        <f>'В-26,27'!G615</f>
        <v>0.4</v>
      </c>
      <c r="E312" s="74">
        <f>'В-26,27'!H615</f>
        <v>0.4</v>
      </c>
      <c r="F312" s="72"/>
    </row>
    <row r="313" spans="1:6" ht="58.5" x14ac:dyDescent="0.35">
      <c r="A313" s="51" t="s">
        <v>2</v>
      </c>
      <c r="B313" s="49" t="s">
        <v>26</v>
      </c>
      <c r="C313" s="52" t="s">
        <v>51</v>
      </c>
      <c r="D313" s="94">
        <f>D314+D322+D326</f>
        <v>4137</v>
      </c>
      <c r="E313" s="94">
        <f>E314+E322+E326</f>
        <v>4137</v>
      </c>
      <c r="F313" s="72"/>
    </row>
    <row r="314" spans="1:6" ht="18.75" hidden="1" x14ac:dyDescent="0.3">
      <c r="A314" s="18" t="s">
        <v>63</v>
      </c>
      <c r="B314" s="19" t="s">
        <v>290</v>
      </c>
      <c r="C314" s="19" t="s">
        <v>51</v>
      </c>
      <c r="D314" s="74">
        <f>D315+D317+D320</f>
        <v>0</v>
      </c>
      <c r="E314" s="74">
        <f>E315+E317+E320</f>
        <v>0</v>
      </c>
      <c r="F314" s="72"/>
    </row>
    <row r="315" spans="1:6" ht="18.75" hidden="1" outlineLevel="1" x14ac:dyDescent="0.3">
      <c r="A315" s="12" t="s">
        <v>321</v>
      </c>
      <c r="B315" s="10" t="s">
        <v>322</v>
      </c>
      <c r="C315" s="10" t="s">
        <v>51</v>
      </c>
      <c r="D315" s="74">
        <f>D316</f>
        <v>0</v>
      </c>
      <c r="E315" s="74">
        <f>E316</f>
        <v>0</v>
      </c>
      <c r="F315" s="72"/>
    </row>
    <row r="316" spans="1:6" ht="37.5" hidden="1" outlineLevel="1" x14ac:dyDescent="0.3">
      <c r="A316" s="12" t="s">
        <v>267</v>
      </c>
      <c r="B316" s="10" t="s">
        <v>322</v>
      </c>
      <c r="C316" s="10" t="s">
        <v>264</v>
      </c>
      <c r="D316" s="74">
        <v>0</v>
      </c>
      <c r="E316" s="74">
        <v>0</v>
      </c>
      <c r="F316" s="72"/>
    </row>
    <row r="317" spans="1:6" ht="18.75" hidden="1" collapsed="1" x14ac:dyDescent="0.3">
      <c r="A317" s="18" t="s">
        <v>289</v>
      </c>
      <c r="B317" s="19" t="s">
        <v>291</v>
      </c>
      <c r="C317" s="19" t="s">
        <v>51</v>
      </c>
      <c r="D317" s="74">
        <f>D318+D319</f>
        <v>0</v>
      </c>
      <c r="E317" s="74">
        <f>E318+E319</f>
        <v>0</v>
      </c>
      <c r="F317" s="72"/>
    </row>
    <row r="318" spans="1:6" ht="37.5" hidden="1" x14ac:dyDescent="0.3">
      <c r="A318" s="12" t="s">
        <v>433</v>
      </c>
      <c r="B318" s="19" t="s">
        <v>291</v>
      </c>
      <c r="C318" s="19" t="s">
        <v>58</v>
      </c>
      <c r="D318" s="74">
        <f>'В-26,27'!G134</f>
        <v>0</v>
      </c>
      <c r="E318" s="74">
        <f>'В-26,27'!H134</f>
        <v>0</v>
      </c>
      <c r="F318" s="72"/>
    </row>
    <row r="319" spans="1:6" ht="37.5" hidden="1" x14ac:dyDescent="0.3">
      <c r="A319" s="12" t="s">
        <v>267</v>
      </c>
      <c r="B319" s="19" t="s">
        <v>291</v>
      </c>
      <c r="C319" s="19" t="s">
        <v>264</v>
      </c>
      <c r="D319" s="74">
        <f>'В-26,27'!G135</f>
        <v>0</v>
      </c>
      <c r="E319" s="74">
        <f>'В-26,27'!H135</f>
        <v>0</v>
      </c>
      <c r="F319" s="72"/>
    </row>
    <row r="320" spans="1:6" ht="18.75" hidden="1" x14ac:dyDescent="0.3">
      <c r="A320" s="12" t="s">
        <v>329</v>
      </c>
      <c r="B320" s="10" t="s">
        <v>330</v>
      </c>
      <c r="C320" s="10" t="s">
        <v>51</v>
      </c>
      <c r="D320" s="74">
        <f>D321</f>
        <v>0</v>
      </c>
      <c r="E320" s="74">
        <f>E321</f>
        <v>0</v>
      </c>
      <c r="F320" s="72"/>
    </row>
    <row r="321" spans="1:6" ht="37.5" hidden="1" x14ac:dyDescent="0.3">
      <c r="A321" s="12" t="s">
        <v>267</v>
      </c>
      <c r="B321" s="10" t="s">
        <v>330</v>
      </c>
      <c r="C321" s="10" t="s">
        <v>264</v>
      </c>
      <c r="D321" s="74">
        <f>'В-26,27'!G1189</f>
        <v>0</v>
      </c>
      <c r="E321" s="74">
        <f>'В-26,27'!H1189</f>
        <v>0</v>
      </c>
      <c r="F321" s="72"/>
    </row>
    <row r="322" spans="1:6" ht="37.5" hidden="1" x14ac:dyDescent="0.3">
      <c r="A322" s="12" t="s">
        <v>169</v>
      </c>
      <c r="B322" s="11" t="s">
        <v>171</v>
      </c>
      <c r="C322" s="10" t="s">
        <v>51</v>
      </c>
      <c r="D322" s="74">
        <f>D323+D325+D324</f>
        <v>0</v>
      </c>
      <c r="E322" s="74">
        <f>E323+E325+E324</f>
        <v>0</v>
      </c>
      <c r="F322" s="72"/>
    </row>
    <row r="323" spans="1:6" ht="37.5" hidden="1" x14ac:dyDescent="0.3">
      <c r="A323" s="12" t="s">
        <v>433</v>
      </c>
      <c r="B323" s="11" t="s">
        <v>171</v>
      </c>
      <c r="C323" s="10" t="s">
        <v>60</v>
      </c>
      <c r="D323" s="74">
        <f>'В-26,27'!G291</f>
        <v>0</v>
      </c>
      <c r="E323" s="74">
        <f>'В-26,27'!H291</f>
        <v>0</v>
      </c>
      <c r="F323" s="72"/>
    </row>
    <row r="324" spans="1:6" ht="18.75" hidden="1" x14ac:dyDescent="0.3">
      <c r="A324" s="12" t="s">
        <v>176</v>
      </c>
      <c r="B324" s="11" t="s">
        <v>171</v>
      </c>
      <c r="C324" s="10" t="s">
        <v>177</v>
      </c>
      <c r="D324" s="74">
        <f>'В-26,27'!G292</f>
        <v>0</v>
      </c>
      <c r="E324" s="74">
        <f>'В-26,27'!H292</f>
        <v>0</v>
      </c>
      <c r="F324" s="72"/>
    </row>
    <row r="325" spans="1:6" ht="37.5" hidden="1" x14ac:dyDescent="0.3">
      <c r="A325" s="12" t="s">
        <v>267</v>
      </c>
      <c r="B325" s="11" t="s">
        <v>171</v>
      </c>
      <c r="C325" s="10" t="s">
        <v>264</v>
      </c>
      <c r="D325" s="74">
        <f>'В-26,27'!G293</f>
        <v>0</v>
      </c>
      <c r="E325" s="74">
        <f>'В-26,27'!H293</f>
        <v>0</v>
      </c>
      <c r="F325" s="72"/>
    </row>
    <row r="326" spans="1:6" ht="56.25" x14ac:dyDescent="0.3">
      <c r="A326" s="12" t="s">
        <v>174</v>
      </c>
      <c r="B326" s="10" t="s">
        <v>781</v>
      </c>
      <c r="C326" s="10" t="s">
        <v>51</v>
      </c>
      <c r="D326" s="74">
        <f>D327+D331</f>
        <v>4137</v>
      </c>
      <c r="E326" s="74">
        <f>E327+E331</f>
        <v>4137</v>
      </c>
      <c r="F326" s="72"/>
    </row>
    <row r="327" spans="1:6" ht="75" x14ac:dyDescent="0.3">
      <c r="A327" s="12" t="s">
        <v>180</v>
      </c>
      <c r="B327" s="10" t="s">
        <v>782</v>
      </c>
      <c r="C327" s="10" t="s">
        <v>51</v>
      </c>
      <c r="D327" s="74">
        <f>D329+D330+D328</f>
        <v>3127</v>
      </c>
      <c r="E327" s="74">
        <f>E329+E330+E328</f>
        <v>3127</v>
      </c>
      <c r="F327" s="72"/>
    </row>
    <row r="328" spans="1:6" ht="75" x14ac:dyDescent="0.3">
      <c r="A328" s="12" t="s">
        <v>57</v>
      </c>
      <c r="B328" s="10" t="s">
        <v>782</v>
      </c>
      <c r="C328" s="10" t="s">
        <v>58</v>
      </c>
      <c r="D328" s="74">
        <f>'В-26,27'!G318</f>
        <v>66.7</v>
      </c>
      <c r="E328" s="74">
        <f>'В-26,27'!H318</f>
        <v>66.7</v>
      </c>
      <c r="F328" s="72"/>
    </row>
    <row r="329" spans="1:6" ht="37.5" x14ac:dyDescent="0.3">
      <c r="A329" s="12" t="s">
        <v>433</v>
      </c>
      <c r="B329" s="10" t="s">
        <v>782</v>
      </c>
      <c r="C329" s="10" t="s">
        <v>60</v>
      </c>
      <c r="D329" s="74">
        <f>'В-26,27'!G276+'В-26,27'!G319</f>
        <v>24.3</v>
      </c>
      <c r="E329" s="74">
        <f>'В-26,27'!H276+'В-26,27'!H319</f>
        <v>24.3</v>
      </c>
      <c r="F329" s="72"/>
    </row>
    <row r="330" spans="1:6" ht="18.75" x14ac:dyDescent="0.3">
      <c r="A330" s="12" t="s">
        <v>176</v>
      </c>
      <c r="B330" s="10" t="s">
        <v>782</v>
      </c>
      <c r="C330" s="10" t="s">
        <v>177</v>
      </c>
      <c r="D330" s="74">
        <f>'В-26,27'!G320</f>
        <v>3036</v>
      </c>
      <c r="E330" s="74">
        <f>'В-26,27'!H320</f>
        <v>3036</v>
      </c>
      <c r="F330" s="72"/>
    </row>
    <row r="331" spans="1:6" ht="131.25" x14ac:dyDescent="0.3">
      <c r="A331" s="124" t="s">
        <v>856</v>
      </c>
      <c r="B331" s="10" t="s">
        <v>857</v>
      </c>
      <c r="C331" s="10" t="s">
        <v>51</v>
      </c>
      <c r="D331" s="74">
        <f>D332+D333</f>
        <v>1010</v>
      </c>
      <c r="E331" s="74">
        <f>E332+E333</f>
        <v>1010</v>
      </c>
      <c r="F331" s="72"/>
    </row>
    <row r="332" spans="1:6" ht="37.5" x14ac:dyDescent="0.3">
      <c r="A332" s="124" t="s">
        <v>433</v>
      </c>
      <c r="B332" s="10" t="s">
        <v>857</v>
      </c>
      <c r="C332" s="10" t="s">
        <v>60</v>
      </c>
      <c r="D332" s="74">
        <f>'В-26,27'!G322</f>
        <v>776.9</v>
      </c>
      <c r="E332" s="74">
        <f>'В-26,27'!H322</f>
        <v>776.9</v>
      </c>
      <c r="F332" s="72"/>
    </row>
    <row r="333" spans="1:6" ht="37.5" x14ac:dyDescent="0.3">
      <c r="A333" s="124" t="s">
        <v>267</v>
      </c>
      <c r="B333" s="10" t="s">
        <v>857</v>
      </c>
      <c r="C333" s="10" t="s">
        <v>264</v>
      </c>
      <c r="D333" s="74">
        <f>'В-26,27'!G323</f>
        <v>233.1</v>
      </c>
      <c r="E333" s="74">
        <f>'В-26,27'!H323</f>
        <v>233.1</v>
      </c>
      <c r="F333" s="72"/>
    </row>
    <row r="334" spans="1:6" ht="58.5" x14ac:dyDescent="0.35">
      <c r="A334" s="51" t="s">
        <v>3</v>
      </c>
      <c r="B334" s="49" t="s">
        <v>95</v>
      </c>
      <c r="C334" s="52" t="s">
        <v>51</v>
      </c>
      <c r="D334" s="94">
        <f>D335+D347+D350</f>
        <v>30249</v>
      </c>
      <c r="E334" s="94">
        <f>E335+E347+E350+E356</f>
        <v>28489.399999999998</v>
      </c>
      <c r="F334" s="72"/>
    </row>
    <row r="335" spans="1:6" ht="56.25" x14ac:dyDescent="0.3">
      <c r="A335" s="12" t="s">
        <v>174</v>
      </c>
      <c r="B335" s="10" t="s">
        <v>783</v>
      </c>
      <c r="C335" s="10" t="s">
        <v>51</v>
      </c>
      <c r="D335" s="74">
        <f>D339+D342+D336</f>
        <v>17292.8</v>
      </c>
      <c r="E335" s="74">
        <f>E339+E342+E336</f>
        <v>16972.599999999999</v>
      </c>
      <c r="F335" s="72"/>
    </row>
    <row r="336" spans="1:6" ht="18.75" x14ac:dyDescent="0.3">
      <c r="A336" s="12" t="s">
        <v>208</v>
      </c>
      <c r="B336" s="10" t="s">
        <v>788</v>
      </c>
      <c r="C336" s="10" t="s">
        <v>51</v>
      </c>
      <c r="D336" s="74">
        <f>D337+D338</f>
        <v>2234</v>
      </c>
      <c r="E336" s="74">
        <f>E337+E338</f>
        <v>1921</v>
      </c>
      <c r="F336" s="72"/>
    </row>
    <row r="337" spans="1:6" ht="75" x14ac:dyDescent="0.3">
      <c r="A337" s="12" t="s">
        <v>57</v>
      </c>
      <c r="B337" s="10" t="s">
        <v>788</v>
      </c>
      <c r="C337" s="10" t="s">
        <v>58</v>
      </c>
      <c r="D337" s="74">
        <f>'В-26,27'!G456</f>
        <v>2234</v>
      </c>
      <c r="E337" s="74">
        <f>'В-26,27'!H456</f>
        <v>1921</v>
      </c>
      <c r="F337" s="72"/>
    </row>
    <row r="338" spans="1:6" ht="37.5" x14ac:dyDescent="0.3">
      <c r="A338" s="12" t="s">
        <v>433</v>
      </c>
      <c r="B338" s="10" t="s">
        <v>788</v>
      </c>
      <c r="C338" s="10" t="s">
        <v>60</v>
      </c>
      <c r="D338" s="74">
        <f>'В-26,27'!G457</f>
        <v>0</v>
      </c>
      <c r="E338" s="74">
        <f>'В-26,27'!H457</f>
        <v>0</v>
      </c>
      <c r="F338" s="72"/>
    </row>
    <row r="339" spans="1:6" ht="93.75" x14ac:dyDescent="0.3">
      <c r="A339" s="12" t="s">
        <v>175</v>
      </c>
      <c r="B339" s="10" t="s">
        <v>784</v>
      </c>
      <c r="C339" s="10" t="s">
        <v>51</v>
      </c>
      <c r="D339" s="74">
        <f>D340+D341</f>
        <v>14994</v>
      </c>
      <c r="E339" s="74">
        <f>E340+E341</f>
        <v>14994</v>
      </c>
      <c r="F339" s="72"/>
    </row>
    <row r="340" spans="1:6" ht="37.5" x14ac:dyDescent="0.3">
      <c r="A340" s="12" t="s">
        <v>433</v>
      </c>
      <c r="B340" s="10" t="s">
        <v>784</v>
      </c>
      <c r="C340" s="10" t="s">
        <v>60</v>
      </c>
      <c r="D340" s="74">
        <f>'В-26,27'!G327</f>
        <v>149</v>
      </c>
      <c r="E340" s="74">
        <f>'В-26,27'!H327</f>
        <v>149</v>
      </c>
      <c r="F340" s="72"/>
    </row>
    <row r="341" spans="1:6" ht="18.75" x14ac:dyDescent="0.3">
      <c r="A341" s="12" t="s">
        <v>176</v>
      </c>
      <c r="B341" s="10" t="s">
        <v>784</v>
      </c>
      <c r="C341" s="10" t="s">
        <v>177</v>
      </c>
      <c r="D341" s="74">
        <f>'В-26,27'!G328</f>
        <v>14845</v>
      </c>
      <c r="E341" s="74">
        <f>'В-26,27'!H328</f>
        <v>14845</v>
      </c>
      <c r="F341" s="72"/>
    </row>
    <row r="342" spans="1:6" ht="138.75" customHeight="1" x14ac:dyDescent="0.3">
      <c r="A342" s="12" t="s">
        <v>323</v>
      </c>
      <c r="B342" s="10" t="s">
        <v>887</v>
      </c>
      <c r="C342" s="10" t="s">
        <v>51</v>
      </c>
      <c r="D342" s="74">
        <f>D343+D345</f>
        <v>64.8</v>
      </c>
      <c r="E342" s="74">
        <f>E343+E345</f>
        <v>57.6</v>
      </c>
      <c r="F342" s="72"/>
    </row>
    <row r="343" spans="1:6" ht="37.5" x14ac:dyDescent="0.3">
      <c r="A343" s="20" t="s">
        <v>324</v>
      </c>
      <c r="B343" s="10" t="s">
        <v>888</v>
      </c>
      <c r="C343" s="10" t="s">
        <v>51</v>
      </c>
      <c r="D343" s="74">
        <f>D344</f>
        <v>0</v>
      </c>
      <c r="E343" s="74">
        <f>E344</f>
        <v>0</v>
      </c>
      <c r="F343" s="72"/>
    </row>
    <row r="344" spans="1:6" ht="37.5" x14ac:dyDescent="0.3">
      <c r="A344" s="12" t="s">
        <v>433</v>
      </c>
      <c r="B344" s="10" t="s">
        <v>888</v>
      </c>
      <c r="C344" s="10" t="s">
        <v>60</v>
      </c>
      <c r="D344" s="74">
        <f>'В-26,27'!G1161</f>
        <v>0</v>
      </c>
      <c r="E344" s="74">
        <f>'В-26,27'!H1161</f>
        <v>0</v>
      </c>
      <c r="F344" s="72"/>
    </row>
    <row r="345" spans="1:6" ht="18.75" x14ac:dyDescent="0.3">
      <c r="A345" s="20" t="s">
        <v>325</v>
      </c>
      <c r="B345" s="10" t="s">
        <v>889</v>
      </c>
      <c r="C345" s="10" t="s">
        <v>51</v>
      </c>
      <c r="D345" s="74">
        <f>D346</f>
        <v>64.8</v>
      </c>
      <c r="E345" s="74">
        <f>E346</f>
        <v>57.6</v>
      </c>
      <c r="F345" s="72"/>
    </row>
    <row r="346" spans="1:6" ht="37.5" x14ac:dyDescent="0.3">
      <c r="A346" s="12" t="s">
        <v>433</v>
      </c>
      <c r="B346" s="10" t="s">
        <v>889</v>
      </c>
      <c r="C346" s="10" t="s">
        <v>60</v>
      </c>
      <c r="D346" s="74">
        <f>'В-26,27'!G1163</f>
        <v>64.8</v>
      </c>
      <c r="E346" s="74">
        <f>'В-26,27'!H1163</f>
        <v>57.6</v>
      </c>
      <c r="F346" s="72"/>
    </row>
    <row r="347" spans="1:6" ht="97.5" hidden="1" customHeight="1" x14ac:dyDescent="0.3">
      <c r="A347" s="88" t="s">
        <v>676</v>
      </c>
      <c r="B347" s="21" t="s">
        <v>327</v>
      </c>
      <c r="C347" s="21" t="s">
        <v>51</v>
      </c>
      <c r="D347" s="74">
        <f>D348</f>
        <v>0</v>
      </c>
      <c r="E347" s="74">
        <f>E348</f>
        <v>0</v>
      </c>
      <c r="F347" s="72"/>
    </row>
    <row r="348" spans="1:6" ht="18.75" hidden="1" x14ac:dyDescent="0.3">
      <c r="A348" s="20" t="s">
        <v>326</v>
      </c>
      <c r="B348" s="21" t="s">
        <v>327</v>
      </c>
      <c r="C348" s="21" t="s">
        <v>51</v>
      </c>
      <c r="D348" s="74">
        <f>D349</f>
        <v>0</v>
      </c>
      <c r="E348" s="74">
        <f>E349</f>
        <v>0</v>
      </c>
      <c r="F348" s="72"/>
    </row>
    <row r="349" spans="1:6" ht="37.5" hidden="1" x14ac:dyDescent="0.3">
      <c r="A349" s="12" t="s">
        <v>293</v>
      </c>
      <c r="B349" s="81" t="s">
        <v>327</v>
      </c>
      <c r="C349" s="10" t="s">
        <v>294</v>
      </c>
      <c r="D349" s="74">
        <f>'В-26,27'!G1166</f>
        <v>0</v>
      </c>
      <c r="E349" s="74">
        <f>'В-26,27'!H1166</f>
        <v>0</v>
      </c>
      <c r="F349" s="72"/>
    </row>
    <row r="350" spans="1:6" ht="93.75" x14ac:dyDescent="0.3">
      <c r="A350" s="88" t="s">
        <v>676</v>
      </c>
      <c r="B350" s="21" t="s">
        <v>890</v>
      </c>
      <c r="C350" s="21" t="s">
        <v>51</v>
      </c>
      <c r="D350" s="74">
        <f>D351</f>
        <v>12956.2</v>
      </c>
      <c r="E350" s="74">
        <f>E351</f>
        <v>5909.0999999999995</v>
      </c>
      <c r="F350" s="72"/>
    </row>
    <row r="351" spans="1:6" ht="37.5" x14ac:dyDescent="0.3">
      <c r="A351" s="12" t="s">
        <v>293</v>
      </c>
      <c r="B351" s="21" t="s">
        <v>890</v>
      </c>
      <c r="C351" s="10" t="s">
        <v>294</v>
      </c>
      <c r="D351" s="74">
        <f>'В-26,27'!G1168</f>
        <v>12956.2</v>
      </c>
      <c r="E351" s="74">
        <f>'В-26,27'!H1168</f>
        <v>5909.0999999999995</v>
      </c>
      <c r="F351" s="72"/>
    </row>
    <row r="352" spans="1:6" ht="58.5" hidden="1" x14ac:dyDescent="0.35">
      <c r="A352" s="82" t="s">
        <v>512</v>
      </c>
      <c r="B352" s="50" t="s">
        <v>528</v>
      </c>
      <c r="C352" s="50" t="s">
        <v>51</v>
      </c>
      <c r="D352" s="94">
        <f t="shared" ref="D352:E354" si="4">D353</f>
        <v>0</v>
      </c>
      <c r="E352" s="94">
        <f t="shared" si="4"/>
        <v>0</v>
      </c>
      <c r="F352" s="72"/>
    </row>
    <row r="353" spans="1:6" ht="18.75" hidden="1" x14ac:dyDescent="0.3">
      <c r="A353" s="12" t="s">
        <v>63</v>
      </c>
      <c r="B353" s="10" t="s">
        <v>530</v>
      </c>
      <c r="C353" s="10" t="s">
        <v>51</v>
      </c>
      <c r="D353" s="74">
        <f t="shared" si="4"/>
        <v>0</v>
      </c>
      <c r="E353" s="74">
        <f t="shared" si="4"/>
        <v>0</v>
      </c>
      <c r="F353" s="72"/>
    </row>
    <row r="354" spans="1:6" ht="18.75" hidden="1" x14ac:dyDescent="0.3">
      <c r="A354" s="12" t="s">
        <v>157</v>
      </c>
      <c r="B354" s="10" t="s">
        <v>543</v>
      </c>
      <c r="C354" s="10" t="s">
        <v>51</v>
      </c>
      <c r="D354" s="74">
        <f t="shared" si="4"/>
        <v>0</v>
      </c>
      <c r="E354" s="74">
        <f t="shared" si="4"/>
        <v>0</v>
      </c>
      <c r="F354" s="72"/>
    </row>
    <row r="355" spans="1:6" ht="37.5" hidden="1" x14ac:dyDescent="0.3">
      <c r="A355" s="12" t="s">
        <v>433</v>
      </c>
      <c r="B355" s="10" t="s">
        <v>543</v>
      </c>
      <c r="C355" s="10" t="s">
        <v>60</v>
      </c>
      <c r="D355" s="74">
        <f>'В-26,27'!G1048</f>
        <v>0</v>
      </c>
      <c r="E355" s="74">
        <f>'В-26,27'!H1048</f>
        <v>0</v>
      </c>
      <c r="F355" s="72"/>
    </row>
    <row r="356" spans="1:6" ht="93.75" x14ac:dyDescent="0.3">
      <c r="A356" s="198" t="s">
        <v>676</v>
      </c>
      <c r="B356" s="21" t="s">
        <v>886</v>
      </c>
      <c r="C356" s="21" t="s">
        <v>51</v>
      </c>
      <c r="D356" s="74">
        <f>D357</f>
        <v>0</v>
      </c>
      <c r="E356" s="74">
        <f>E357</f>
        <v>5607.7</v>
      </c>
      <c r="F356" s="72"/>
    </row>
    <row r="357" spans="1:6" ht="37.5" x14ac:dyDescent="0.3">
      <c r="A357" s="124" t="s">
        <v>293</v>
      </c>
      <c r="B357" s="21" t="s">
        <v>886</v>
      </c>
      <c r="C357" s="10" t="s">
        <v>294</v>
      </c>
      <c r="D357" s="74">
        <f>'В-26,27'!G1191</f>
        <v>0</v>
      </c>
      <c r="E357" s="74">
        <f>'В-26,27'!H1191</f>
        <v>5607.7</v>
      </c>
      <c r="F357" s="72"/>
    </row>
    <row r="358" spans="1:6" ht="19.5" x14ac:dyDescent="0.35">
      <c r="A358" s="82" t="s">
        <v>417</v>
      </c>
      <c r="B358" s="49" t="s">
        <v>458</v>
      </c>
      <c r="C358" s="50" t="s">
        <v>51</v>
      </c>
      <c r="D358" s="94">
        <f>D359+D362+D365</f>
        <v>3042.21</v>
      </c>
      <c r="E358" s="94">
        <f>E359+E362+E365</f>
        <v>3042.21</v>
      </c>
      <c r="F358" s="72"/>
    </row>
    <row r="359" spans="1:6" ht="18.75" hidden="1" x14ac:dyDescent="0.3">
      <c r="A359" s="12" t="s">
        <v>63</v>
      </c>
      <c r="B359" s="11" t="s">
        <v>510</v>
      </c>
      <c r="C359" s="10" t="s">
        <v>51</v>
      </c>
      <c r="D359" s="74">
        <f>D360</f>
        <v>0</v>
      </c>
      <c r="E359" s="74">
        <f>E360</f>
        <v>0</v>
      </c>
      <c r="F359" s="72"/>
    </row>
    <row r="360" spans="1:6" ht="37.5" hidden="1" x14ac:dyDescent="0.3">
      <c r="A360" s="12" t="s">
        <v>459</v>
      </c>
      <c r="B360" s="11" t="s">
        <v>509</v>
      </c>
      <c r="C360" s="10" t="s">
        <v>51</v>
      </c>
      <c r="D360" s="74">
        <f>D361</f>
        <v>0</v>
      </c>
      <c r="E360" s="74">
        <f>E361</f>
        <v>0</v>
      </c>
      <c r="F360" s="72"/>
    </row>
    <row r="361" spans="1:6" ht="37.5" hidden="1" x14ac:dyDescent="0.3">
      <c r="A361" s="12" t="s">
        <v>433</v>
      </c>
      <c r="B361" s="11" t="s">
        <v>509</v>
      </c>
      <c r="C361" s="10" t="s">
        <v>60</v>
      </c>
      <c r="D361" s="74">
        <f>'В-26,27'!G793</f>
        <v>0</v>
      </c>
      <c r="E361" s="74">
        <f>'В-26,27'!H793</f>
        <v>0</v>
      </c>
      <c r="F361" s="72"/>
    </row>
    <row r="362" spans="1:6" ht="18.75" hidden="1" x14ac:dyDescent="0.3">
      <c r="A362" s="90" t="s">
        <v>69</v>
      </c>
      <c r="B362" s="81" t="s">
        <v>690</v>
      </c>
      <c r="C362" s="10" t="s">
        <v>51</v>
      </c>
      <c r="D362" s="74">
        <f>D363</f>
        <v>0</v>
      </c>
      <c r="E362" s="74">
        <f>E363</f>
        <v>0</v>
      </c>
      <c r="F362" s="72"/>
    </row>
    <row r="363" spans="1:6" ht="75" hidden="1" x14ac:dyDescent="0.3">
      <c r="A363" s="90" t="s">
        <v>691</v>
      </c>
      <c r="B363" s="81" t="s">
        <v>692</v>
      </c>
      <c r="C363" s="10" t="s">
        <v>51</v>
      </c>
      <c r="D363" s="74">
        <f>D364</f>
        <v>0</v>
      </c>
      <c r="E363" s="74">
        <f>E364</f>
        <v>0</v>
      </c>
      <c r="F363" s="72"/>
    </row>
    <row r="364" spans="1:6" ht="18.75" hidden="1" x14ac:dyDescent="0.3">
      <c r="A364" s="12" t="s">
        <v>176</v>
      </c>
      <c r="B364" s="81" t="s">
        <v>692</v>
      </c>
      <c r="C364" s="10" t="s">
        <v>177</v>
      </c>
      <c r="D364" s="74">
        <f>'В-26,27'!G1172</f>
        <v>0</v>
      </c>
      <c r="E364" s="74">
        <f>'В-26,27'!H1172</f>
        <v>0</v>
      </c>
      <c r="F364" s="72"/>
    </row>
    <row r="365" spans="1:6" ht="37.5" x14ac:dyDescent="0.3">
      <c r="A365" s="88" t="s">
        <v>751</v>
      </c>
      <c r="B365" s="10" t="s">
        <v>891</v>
      </c>
      <c r="C365" s="10" t="s">
        <v>51</v>
      </c>
      <c r="D365" s="74">
        <f>D366</f>
        <v>3042.21</v>
      </c>
      <c r="E365" s="74">
        <f>E366</f>
        <v>3042.21</v>
      </c>
      <c r="F365" s="72"/>
    </row>
    <row r="366" spans="1:6" ht="18.75" x14ac:dyDescent="0.3">
      <c r="A366" s="12" t="s">
        <v>176</v>
      </c>
      <c r="B366" s="10" t="s">
        <v>891</v>
      </c>
      <c r="C366" s="10" t="s">
        <v>177</v>
      </c>
      <c r="D366" s="74">
        <f>'В-26,27'!G1194</f>
        <v>3042.21</v>
      </c>
      <c r="E366" s="74">
        <f>'В-26,27'!H1193</f>
        <v>3042.21</v>
      </c>
      <c r="F366" s="72"/>
    </row>
    <row r="367" spans="1:6" ht="56.25" customHeight="1" x14ac:dyDescent="0.3">
      <c r="A367" s="5" t="s">
        <v>161</v>
      </c>
      <c r="B367" s="15" t="s">
        <v>96</v>
      </c>
      <c r="C367" s="8" t="s">
        <v>51</v>
      </c>
      <c r="D367" s="93">
        <f>D368+D378+D386+D394+D399+D402+D406+D408</f>
        <v>5830</v>
      </c>
      <c r="E367" s="93">
        <f>E368+E378+E386+E399+E402</f>
        <v>5830</v>
      </c>
      <c r="F367" s="72"/>
    </row>
    <row r="368" spans="1:6" ht="58.5" x14ac:dyDescent="0.35">
      <c r="A368" s="51" t="s">
        <v>4</v>
      </c>
      <c r="B368" s="49" t="s">
        <v>97</v>
      </c>
      <c r="C368" s="50" t="s">
        <v>51</v>
      </c>
      <c r="D368" s="94">
        <f>D369+D375</f>
        <v>2107.2000000000003</v>
      </c>
      <c r="E368" s="94">
        <f>E369+E375</f>
        <v>2107.2000000000003</v>
      </c>
      <c r="F368" s="72"/>
    </row>
    <row r="369" spans="1:6" ht="42" customHeight="1" x14ac:dyDescent="0.3">
      <c r="A369" s="12" t="s">
        <v>53</v>
      </c>
      <c r="B369" s="10" t="s">
        <v>237</v>
      </c>
      <c r="C369" s="10" t="s">
        <v>51</v>
      </c>
      <c r="D369" s="74">
        <f>D370+D373</f>
        <v>2107.2000000000003</v>
      </c>
      <c r="E369" s="74">
        <f>E370</f>
        <v>2107.2000000000003</v>
      </c>
      <c r="F369" s="72"/>
    </row>
    <row r="370" spans="1:6" ht="18.75" x14ac:dyDescent="0.3">
      <c r="A370" s="12" t="s">
        <v>83</v>
      </c>
      <c r="B370" s="10" t="s">
        <v>238</v>
      </c>
      <c r="C370" s="10" t="s">
        <v>51</v>
      </c>
      <c r="D370" s="74">
        <f>D371+D372</f>
        <v>2107.2000000000003</v>
      </c>
      <c r="E370" s="74">
        <f>E371+E372</f>
        <v>2107.2000000000003</v>
      </c>
      <c r="F370" s="72"/>
    </row>
    <row r="371" spans="1:6" ht="75" x14ac:dyDescent="0.3">
      <c r="A371" s="12" t="s">
        <v>57</v>
      </c>
      <c r="B371" s="10" t="s">
        <v>238</v>
      </c>
      <c r="C371" s="10" t="s">
        <v>58</v>
      </c>
      <c r="D371" s="74">
        <f>'В-26,27'!G587</f>
        <v>1883.9</v>
      </c>
      <c r="E371" s="74">
        <f>'В-26,27'!H587</f>
        <v>1883.9</v>
      </c>
      <c r="F371" s="72"/>
    </row>
    <row r="372" spans="1:6" ht="37.5" x14ac:dyDescent="0.3">
      <c r="A372" s="12" t="s">
        <v>433</v>
      </c>
      <c r="B372" s="10" t="s">
        <v>238</v>
      </c>
      <c r="C372" s="10" t="s">
        <v>60</v>
      </c>
      <c r="D372" s="74">
        <f>'В-26,27'!G588</f>
        <v>223.3</v>
      </c>
      <c r="E372" s="74">
        <f>'В-26,27'!H588</f>
        <v>223.3</v>
      </c>
      <c r="F372" s="72"/>
    </row>
    <row r="373" spans="1:6" ht="37.5" hidden="1" x14ac:dyDescent="0.3">
      <c r="A373" s="2" t="s">
        <v>377</v>
      </c>
      <c r="B373" s="10" t="s">
        <v>520</v>
      </c>
      <c r="C373" s="10" t="s">
        <v>51</v>
      </c>
      <c r="D373" s="74">
        <f>D374</f>
        <v>0</v>
      </c>
      <c r="E373" s="74">
        <f>E374</f>
        <v>0</v>
      </c>
      <c r="F373" s="72"/>
    </row>
    <row r="374" spans="1:6" ht="75" hidden="1" x14ac:dyDescent="0.3">
      <c r="A374" s="12" t="s">
        <v>57</v>
      </c>
      <c r="B374" s="10" t="s">
        <v>520</v>
      </c>
      <c r="C374" s="10" t="s">
        <v>58</v>
      </c>
      <c r="D374" s="74">
        <f>'[2]В-21'!G439</f>
        <v>0</v>
      </c>
      <c r="E374" s="74">
        <f>'[2]В-21'!H439</f>
        <v>0</v>
      </c>
      <c r="F374" s="72"/>
    </row>
    <row r="375" spans="1:6" ht="56.25" hidden="1" x14ac:dyDescent="0.3">
      <c r="A375" s="12" t="s">
        <v>451</v>
      </c>
      <c r="B375" s="10" t="s">
        <v>452</v>
      </c>
      <c r="C375" s="10" t="s">
        <v>51</v>
      </c>
      <c r="D375" s="74">
        <f>D376+D377</f>
        <v>0</v>
      </c>
      <c r="E375" s="74">
        <f>E376+E377</f>
        <v>0</v>
      </c>
      <c r="F375" s="72"/>
    </row>
    <row r="376" spans="1:6" ht="75" hidden="1" x14ac:dyDescent="0.3">
      <c r="A376" s="12" t="s">
        <v>57</v>
      </c>
      <c r="B376" s="10" t="s">
        <v>452</v>
      </c>
      <c r="C376" s="10" t="s">
        <v>58</v>
      </c>
      <c r="D376" s="74">
        <f>'В-26,27'!G572</f>
        <v>0</v>
      </c>
      <c r="E376" s="74">
        <f>'В-26,27'!H572</f>
        <v>0</v>
      </c>
      <c r="F376" s="72"/>
    </row>
    <row r="377" spans="1:6" ht="37.5" hidden="1" x14ac:dyDescent="0.3">
      <c r="A377" s="12" t="s">
        <v>433</v>
      </c>
      <c r="B377" s="10" t="s">
        <v>452</v>
      </c>
      <c r="C377" s="10" t="s">
        <v>60</v>
      </c>
      <c r="D377" s="74">
        <f>'В-26,27'!G573</f>
        <v>0</v>
      </c>
      <c r="E377" s="74">
        <f>'В-26,27'!H573</f>
        <v>0</v>
      </c>
      <c r="F377" s="72"/>
    </row>
    <row r="378" spans="1:6" ht="65.25" customHeight="1" x14ac:dyDescent="0.35">
      <c r="A378" s="51" t="s">
        <v>5</v>
      </c>
      <c r="B378" s="49" t="s">
        <v>98</v>
      </c>
      <c r="C378" s="50" t="s">
        <v>51</v>
      </c>
      <c r="D378" s="94">
        <f>D379</f>
        <v>2722.8</v>
      </c>
      <c r="E378" s="94">
        <f>E379</f>
        <v>2722.8</v>
      </c>
      <c r="F378" s="72"/>
    </row>
    <row r="379" spans="1:6" ht="42.75" customHeight="1" x14ac:dyDescent="0.3">
      <c r="A379" s="12" t="s">
        <v>53</v>
      </c>
      <c r="B379" s="10" t="s">
        <v>240</v>
      </c>
      <c r="C379" s="10" t="s">
        <v>51</v>
      </c>
      <c r="D379" s="74">
        <f>D380+D384</f>
        <v>2722.8</v>
      </c>
      <c r="E379" s="74">
        <f>E380+E384</f>
        <v>2722.8</v>
      </c>
      <c r="F379" s="72"/>
    </row>
    <row r="380" spans="1:6" ht="23.25" customHeight="1" x14ac:dyDescent="0.3">
      <c r="A380" s="12" t="s">
        <v>239</v>
      </c>
      <c r="B380" s="10" t="s">
        <v>241</v>
      </c>
      <c r="C380" s="10" t="s">
        <v>51</v>
      </c>
      <c r="D380" s="74">
        <f>D381+D382+D383</f>
        <v>2722.8</v>
      </c>
      <c r="E380" s="74">
        <f>E381+E382+E383</f>
        <v>2722.8</v>
      </c>
      <c r="F380" s="72"/>
    </row>
    <row r="381" spans="1:6" ht="75" x14ac:dyDescent="0.3">
      <c r="A381" s="12" t="s">
        <v>57</v>
      </c>
      <c r="B381" s="10" t="s">
        <v>241</v>
      </c>
      <c r="C381" s="10" t="s">
        <v>58</v>
      </c>
      <c r="D381" s="74">
        <f>'В-26,27'!G592</f>
        <v>2444.9</v>
      </c>
      <c r="E381" s="74">
        <f>'В-26,27'!H592</f>
        <v>2444.9</v>
      </c>
      <c r="F381" s="72"/>
    </row>
    <row r="382" spans="1:6" ht="37.5" x14ac:dyDescent="0.3">
      <c r="A382" s="12" t="s">
        <v>433</v>
      </c>
      <c r="B382" s="10" t="s">
        <v>241</v>
      </c>
      <c r="C382" s="10" t="s">
        <v>60</v>
      </c>
      <c r="D382" s="74">
        <f>'В-26,27'!G593</f>
        <v>272.89999999999998</v>
      </c>
      <c r="E382" s="74">
        <f>'В-26,27'!H593</f>
        <v>272.89999999999998</v>
      </c>
      <c r="F382" s="72"/>
    </row>
    <row r="383" spans="1:6" ht="18.75" x14ac:dyDescent="0.3">
      <c r="A383" s="12" t="s">
        <v>61</v>
      </c>
      <c r="B383" s="10" t="s">
        <v>241</v>
      </c>
      <c r="C383" s="10" t="s">
        <v>62</v>
      </c>
      <c r="D383" s="74">
        <f>'В-26,27'!G594</f>
        <v>5</v>
      </c>
      <c r="E383" s="74">
        <f>'В-26,27'!H594</f>
        <v>5</v>
      </c>
      <c r="F383" s="72"/>
    </row>
    <row r="384" spans="1:6" ht="30.75" hidden="1" customHeight="1" x14ac:dyDescent="0.3">
      <c r="A384" s="2" t="s">
        <v>377</v>
      </c>
      <c r="B384" s="10" t="s">
        <v>521</v>
      </c>
      <c r="C384" s="10" t="s">
        <v>51</v>
      </c>
      <c r="D384" s="74">
        <f>D385</f>
        <v>0</v>
      </c>
      <c r="E384" s="74">
        <f>E385</f>
        <v>0</v>
      </c>
      <c r="F384" s="72"/>
    </row>
    <row r="385" spans="1:6" ht="75" hidden="1" x14ac:dyDescent="0.3">
      <c r="A385" s="12" t="s">
        <v>57</v>
      </c>
      <c r="B385" s="10" t="s">
        <v>521</v>
      </c>
      <c r="C385" s="10" t="s">
        <v>58</v>
      </c>
      <c r="D385" s="74">
        <v>0</v>
      </c>
      <c r="E385" s="74">
        <v>0</v>
      </c>
      <c r="F385" s="72"/>
    </row>
    <row r="386" spans="1:6" ht="58.5" x14ac:dyDescent="0.35">
      <c r="A386" s="53" t="s">
        <v>6</v>
      </c>
      <c r="B386" s="49" t="s">
        <v>99</v>
      </c>
      <c r="C386" s="50" t="s">
        <v>51</v>
      </c>
      <c r="D386" s="94">
        <f>D387+D390</f>
        <v>500</v>
      </c>
      <c r="E386" s="94">
        <f>E387+E390</f>
        <v>500</v>
      </c>
      <c r="F386" s="72"/>
    </row>
    <row r="387" spans="1:6" ht="18.75" x14ac:dyDescent="0.3">
      <c r="A387" s="12" t="s">
        <v>63</v>
      </c>
      <c r="B387" s="10" t="s">
        <v>301</v>
      </c>
      <c r="C387" s="10" t="s">
        <v>51</v>
      </c>
      <c r="D387" s="74">
        <f>D388</f>
        <v>500</v>
      </c>
      <c r="E387" s="74">
        <f>E388</f>
        <v>500</v>
      </c>
      <c r="F387" s="72"/>
    </row>
    <row r="388" spans="1:6" ht="37.5" x14ac:dyDescent="0.3">
      <c r="A388" s="12" t="s">
        <v>300</v>
      </c>
      <c r="B388" s="10" t="s">
        <v>302</v>
      </c>
      <c r="C388" s="10" t="s">
        <v>51</v>
      </c>
      <c r="D388" s="74">
        <f>D389</f>
        <v>500</v>
      </c>
      <c r="E388" s="74">
        <f>E389</f>
        <v>500</v>
      </c>
      <c r="F388" s="72"/>
    </row>
    <row r="389" spans="1:6" ht="37.5" x14ac:dyDescent="0.3">
      <c r="A389" s="12" t="s">
        <v>433</v>
      </c>
      <c r="B389" s="10" t="s">
        <v>302</v>
      </c>
      <c r="C389" s="10" t="s">
        <v>60</v>
      </c>
      <c r="D389" s="74">
        <f>'В-26,27'!G929</f>
        <v>500</v>
      </c>
      <c r="E389" s="74">
        <f>'В-26,27'!H929</f>
        <v>500</v>
      </c>
      <c r="F389" s="72"/>
    </row>
    <row r="390" spans="1:6" ht="18.75" hidden="1" x14ac:dyDescent="0.3">
      <c r="A390" s="12" t="s">
        <v>399</v>
      </c>
      <c r="B390" s="10" t="s">
        <v>401</v>
      </c>
      <c r="C390" s="10" t="s">
        <v>51</v>
      </c>
      <c r="D390" s="74">
        <f t="shared" ref="D390:E392" si="5">D391</f>
        <v>0</v>
      </c>
      <c r="E390" s="74">
        <f t="shared" si="5"/>
        <v>0</v>
      </c>
      <c r="F390" s="72"/>
    </row>
    <row r="391" spans="1:6" ht="18.75" hidden="1" x14ac:dyDescent="0.3">
      <c r="A391" s="12" t="s">
        <v>400</v>
      </c>
      <c r="B391" s="10" t="s">
        <v>683</v>
      </c>
      <c r="C391" s="10" t="s">
        <v>51</v>
      </c>
      <c r="D391" s="74">
        <f t="shared" si="5"/>
        <v>0</v>
      </c>
      <c r="E391" s="74">
        <f t="shared" si="5"/>
        <v>0</v>
      </c>
      <c r="F391" s="72"/>
    </row>
    <row r="392" spans="1:6" ht="55.5" hidden="1" customHeight="1" x14ac:dyDescent="0.3">
      <c r="A392" s="12" t="s">
        <v>681</v>
      </c>
      <c r="B392" s="9" t="s">
        <v>682</v>
      </c>
      <c r="C392" s="10" t="s">
        <v>51</v>
      </c>
      <c r="D392" s="74">
        <f t="shared" si="5"/>
        <v>0</v>
      </c>
      <c r="E392" s="74">
        <f t="shared" si="5"/>
        <v>0</v>
      </c>
      <c r="F392" s="72"/>
    </row>
    <row r="393" spans="1:6" ht="36.75" hidden="1" customHeight="1" x14ac:dyDescent="0.3">
      <c r="A393" s="12" t="s">
        <v>433</v>
      </c>
      <c r="B393" s="9" t="s">
        <v>682</v>
      </c>
      <c r="C393" s="10" t="s">
        <v>60</v>
      </c>
      <c r="D393" s="74">
        <f>'В-26,27'!G936</f>
        <v>0</v>
      </c>
      <c r="E393" s="74">
        <f>'В-26,27'!H936</f>
        <v>0</v>
      </c>
      <c r="F393" s="72"/>
    </row>
    <row r="394" spans="1:6" ht="56.25" hidden="1" outlineLevel="1" x14ac:dyDescent="0.3">
      <c r="A394" s="62" t="s">
        <v>7</v>
      </c>
      <c r="B394" s="21" t="s">
        <v>27</v>
      </c>
      <c r="C394" s="10" t="s">
        <v>51</v>
      </c>
      <c r="D394" s="74">
        <f>D395</f>
        <v>0</v>
      </c>
      <c r="E394" s="74">
        <f>E395</f>
        <v>0</v>
      </c>
      <c r="F394" s="72"/>
    </row>
    <row r="395" spans="1:6" ht="18.75" hidden="1" outlineLevel="1" x14ac:dyDescent="0.3">
      <c r="A395" s="12" t="s">
        <v>63</v>
      </c>
      <c r="B395" s="10" t="s">
        <v>244</v>
      </c>
      <c r="C395" s="10" t="s">
        <v>51</v>
      </c>
      <c r="D395" s="74">
        <f>D396</f>
        <v>0</v>
      </c>
      <c r="E395" s="74">
        <f>E396</f>
        <v>0</v>
      </c>
      <c r="F395" s="72"/>
    </row>
    <row r="396" spans="1:6" ht="18.75" hidden="1" outlineLevel="1" x14ac:dyDescent="0.3">
      <c r="A396" s="12" t="s">
        <v>157</v>
      </c>
      <c r="B396" s="10" t="s">
        <v>245</v>
      </c>
      <c r="C396" s="10" t="s">
        <v>51</v>
      </c>
      <c r="D396" s="74">
        <f>D397+D398</f>
        <v>0</v>
      </c>
      <c r="E396" s="74">
        <f>E397+E398</f>
        <v>0</v>
      </c>
      <c r="F396" s="72"/>
    </row>
    <row r="397" spans="1:6" ht="75" hidden="1" outlineLevel="1" x14ac:dyDescent="0.3">
      <c r="A397" s="12" t="s">
        <v>57</v>
      </c>
      <c r="B397" s="10" t="s">
        <v>245</v>
      </c>
      <c r="C397" s="10" t="s">
        <v>58</v>
      </c>
      <c r="D397" s="74">
        <v>0</v>
      </c>
      <c r="E397" s="74">
        <v>0</v>
      </c>
      <c r="F397" s="72"/>
    </row>
    <row r="398" spans="1:6" ht="18.75" hidden="1" outlineLevel="1" x14ac:dyDescent="0.3">
      <c r="A398" s="12" t="s">
        <v>59</v>
      </c>
      <c r="B398" s="10" t="s">
        <v>245</v>
      </c>
      <c r="C398" s="10" t="s">
        <v>60</v>
      </c>
      <c r="D398" s="74">
        <v>0</v>
      </c>
      <c r="E398" s="74">
        <v>0</v>
      </c>
      <c r="F398" s="72"/>
    </row>
    <row r="399" spans="1:6" ht="19.5" hidden="1" outlineLevel="1" x14ac:dyDescent="0.35">
      <c r="A399" s="82" t="s">
        <v>417</v>
      </c>
      <c r="B399" s="50" t="s">
        <v>734</v>
      </c>
      <c r="C399" s="50" t="s">
        <v>51</v>
      </c>
      <c r="D399" s="94">
        <f>D400</f>
        <v>0</v>
      </c>
      <c r="E399" s="94">
        <f>E400</f>
        <v>0</v>
      </c>
      <c r="F399" s="72"/>
    </row>
    <row r="400" spans="1:6" ht="18.75" hidden="1" outlineLevel="1" x14ac:dyDescent="0.3">
      <c r="A400" s="12" t="s">
        <v>735</v>
      </c>
      <c r="B400" s="10" t="s">
        <v>737</v>
      </c>
      <c r="C400" s="10" t="s">
        <v>51</v>
      </c>
      <c r="D400" s="74">
        <f>D401</f>
        <v>0</v>
      </c>
      <c r="E400" s="74">
        <f>E401</f>
        <v>0</v>
      </c>
      <c r="F400" s="72"/>
    </row>
    <row r="401" spans="1:8" ht="23.25" hidden="1" customHeight="1" outlineLevel="1" x14ac:dyDescent="0.3">
      <c r="A401" s="12" t="s">
        <v>736</v>
      </c>
      <c r="B401" s="10" t="s">
        <v>738</v>
      </c>
      <c r="C401" s="10" t="s">
        <v>60</v>
      </c>
      <c r="D401" s="74">
        <f>'В-26,27'!G599</f>
        <v>0</v>
      </c>
      <c r="E401" s="74">
        <f>'В-26,27'!H599</f>
        <v>0</v>
      </c>
      <c r="F401" s="72"/>
    </row>
    <row r="402" spans="1:8" ht="23.25" customHeight="1" outlineLevel="1" x14ac:dyDescent="0.35">
      <c r="A402" s="225" t="s">
        <v>417</v>
      </c>
      <c r="B402" s="226" t="s">
        <v>734</v>
      </c>
      <c r="C402" s="226" t="s">
        <v>51</v>
      </c>
      <c r="D402" s="94">
        <f>D403</f>
        <v>500</v>
      </c>
      <c r="E402" s="94">
        <f>E403</f>
        <v>500</v>
      </c>
      <c r="F402" s="72"/>
    </row>
    <row r="403" spans="1:8" ht="35.25" customHeight="1" outlineLevel="1" x14ac:dyDescent="0.3">
      <c r="A403" s="124" t="s">
        <v>762</v>
      </c>
      <c r="B403" s="10" t="s">
        <v>763</v>
      </c>
      <c r="C403" s="10" t="s">
        <v>51</v>
      </c>
      <c r="D403" s="74">
        <f>D404</f>
        <v>500</v>
      </c>
      <c r="E403" s="74">
        <f>E404</f>
        <v>500</v>
      </c>
      <c r="F403" s="72"/>
    </row>
    <row r="404" spans="1:8" ht="42" customHeight="1" outlineLevel="1" x14ac:dyDescent="0.3">
      <c r="A404" s="124" t="s">
        <v>433</v>
      </c>
      <c r="B404" s="10" t="s">
        <v>763</v>
      </c>
      <c r="C404" s="10" t="s">
        <v>60</v>
      </c>
      <c r="D404" s="74">
        <f>'В-26,27'!G597</f>
        <v>500</v>
      </c>
      <c r="E404" s="74">
        <f>'В-26,27'!H597</f>
        <v>500</v>
      </c>
      <c r="F404" s="72"/>
    </row>
    <row r="405" spans="1:8" ht="42" hidden="1" customHeight="1" outlineLevel="1" x14ac:dyDescent="0.3">
      <c r="A405" s="124" t="s">
        <v>809</v>
      </c>
      <c r="B405" s="10" t="s">
        <v>810</v>
      </c>
      <c r="C405" s="10" t="s">
        <v>51</v>
      </c>
      <c r="D405" s="74">
        <f>D406</f>
        <v>0</v>
      </c>
      <c r="E405" s="74"/>
      <c r="F405" s="72"/>
    </row>
    <row r="406" spans="1:8" ht="42" hidden="1" customHeight="1" outlineLevel="1" x14ac:dyDescent="0.3">
      <c r="A406" s="124" t="s">
        <v>293</v>
      </c>
      <c r="B406" s="10" t="s">
        <v>810</v>
      </c>
      <c r="C406" s="10" t="s">
        <v>294</v>
      </c>
      <c r="D406" s="74">
        <f>'В-26,27'!G601</f>
        <v>0</v>
      </c>
      <c r="E406" s="74"/>
      <c r="F406" s="72"/>
    </row>
    <row r="407" spans="1:8" ht="42" hidden="1" customHeight="1" outlineLevel="1" x14ac:dyDescent="0.3">
      <c r="A407" s="124" t="s">
        <v>809</v>
      </c>
      <c r="B407" s="10" t="s">
        <v>811</v>
      </c>
      <c r="C407" s="10" t="s">
        <v>51</v>
      </c>
      <c r="D407" s="74">
        <f>D408</f>
        <v>0</v>
      </c>
      <c r="E407" s="74"/>
      <c r="F407" s="72"/>
    </row>
    <row r="408" spans="1:8" ht="42" hidden="1" customHeight="1" outlineLevel="1" x14ac:dyDescent="0.3">
      <c r="A408" s="124" t="s">
        <v>293</v>
      </c>
      <c r="B408" s="10" t="s">
        <v>811</v>
      </c>
      <c r="C408" s="10" t="s">
        <v>294</v>
      </c>
      <c r="D408" s="74">
        <f>'В-26,27'!G603</f>
        <v>0</v>
      </c>
      <c r="E408" s="74"/>
      <c r="F408" s="72"/>
    </row>
    <row r="409" spans="1:8" ht="39" customHeight="1" collapsed="1" x14ac:dyDescent="0.3">
      <c r="A409" s="5" t="s">
        <v>162</v>
      </c>
      <c r="B409" s="15" t="s">
        <v>100</v>
      </c>
      <c r="C409" s="8" t="s">
        <v>51</v>
      </c>
      <c r="D409" s="93">
        <f>D410+D447+D457+D478+D603</f>
        <v>99759.15</v>
      </c>
      <c r="E409" s="93">
        <f>E410+E447+E457+E603</f>
        <v>107217.3</v>
      </c>
      <c r="F409" s="72"/>
    </row>
    <row r="410" spans="1:8" ht="39" x14ac:dyDescent="0.35">
      <c r="A410" s="51" t="s">
        <v>8</v>
      </c>
      <c r="B410" s="49" t="s">
        <v>101</v>
      </c>
      <c r="C410" s="50" t="s">
        <v>51</v>
      </c>
      <c r="D410" s="94">
        <f>D411+D418+D435+D421+D438+D414+D433+D423+D425+D427</f>
        <v>72009</v>
      </c>
      <c r="E410" s="94">
        <f>E411+E418+E435+E421+E438+E414+E433</f>
        <v>71982</v>
      </c>
      <c r="F410" s="72"/>
      <c r="G410" s="247"/>
      <c r="H410" s="247"/>
    </row>
    <row r="411" spans="1:8" ht="18.75" x14ac:dyDescent="0.3">
      <c r="A411" s="12" t="s">
        <v>63</v>
      </c>
      <c r="B411" s="10" t="s">
        <v>873</v>
      </c>
      <c r="C411" s="10" t="s">
        <v>51</v>
      </c>
      <c r="D411" s="74">
        <f>D412+D416</f>
        <v>17309</v>
      </c>
      <c r="E411" s="74">
        <f>E412+E416</f>
        <v>17308</v>
      </c>
      <c r="F411" s="72"/>
      <c r="G411" s="247"/>
      <c r="H411" s="247"/>
    </row>
    <row r="412" spans="1:8" ht="18.75" x14ac:dyDescent="0.3">
      <c r="A412" s="12" t="s">
        <v>251</v>
      </c>
      <c r="B412" s="10" t="s">
        <v>871</v>
      </c>
      <c r="C412" s="10" t="s">
        <v>51</v>
      </c>
      <c r="D412" s="74">
        <f>D413</f>
        <v>16889</v>
      </c>
      <c r="E412" s="74">
        <f>E413</f>
        <v>17308</v>
      </c>
      <c r="F412" s="72"/>
    </row>
    <row r="413" spans="1:8" ht="37.5" x14ac:dyDescent="0.3">
      <c r="A413" s="12" t="s">
        <v>433</v>
      </c>
      <c r="B413" s="10" t="s">
        <v>871</v>
      </c>
      <c r="C413" s="10" t="s">
        <v>60</v>
      </c>
      <c r="D413" s="74">
        <f>'В-26,27'!G647</f>
        <v>16889</v>
      </c>
      <c r="E413" s="74">
        <f>'В-26,27'!H647</f>
        <v>17308</v>
      </c>
      <c r="F413" s="72"/>
    </row>
    <row r="414" spans="1:8" ht="48" hidden="1" customHeight="1" x14ac:dyDescent="0.3">
      <c r="A414" s="69" t="s">
        <v>503</v>
      </c>
      <c r="B414" s="11" t="s">
        <v>504</v>
      </c>
      <c r="C414" s="10" t="s">
        <v>51</v>
      </c>
      <c r="D414" s="74">
        <f>D415</f>
        <v>0</v>
      </c>
      <c r="E414" s="74">
        <f>E415</f>
        <v>0</v>
      </c>
      <c r="F414" s="72"/>
    </row>
    <row r="415" spans="1:8" ht="34.5" hidden="1" customHeight="1" x14ac:dyDescent="0.3">
      <c r="A415" s="12" t="s">
        <v>61</v>
      </c>
      <c r="B415" s="11" t="s">
        <v>482</v>
      </c>
      <c r="C415" s="10" t="s">
        <v>62</v>
      </c>
      <c r="D415" s="74">
        <f>'[2]В-21'!G382</f>
        <v>0</v>
      </c>
      <c r="E415" s="74">
        <f>'[2]В-21'!H382</f>
        <v>0</v>
      </c>
      <c r="F415" s="72"/>
    </row>
    <row r="416" spans="1:8" ht="44.25" customHeight="1" x14ac:dyDescent="0.3">
      <c r="A416" s="124" t="s">
        <v>894</v>
      </c>
      <c r="B416" s="10" t="s">
        <v>895</v>
      </c>
      <c r="C416" s="10" t="s">
        <v>51</v>
      </c>
      <c r="D416" s="74">
        <f>D417</f>
        <v>420</v>
      </c>
      <c r="E416" s="74">
        <f>E417</f>
        <v>0</v>
      </c>
      <c r="F416" s="72"/>
    </row>
    <row r="417" spans="1:6" ht="50.25" customHeight="1" x14ac:dyDescent="0.3">
      <c r="A417" s="124" t="s">
        <v>433</v>
      </c>
      <c r="B417" s="10" t="s">
        <v>895</v>
      </c>
      <c r="C417" s="10" t="s">
        <v>60</v>
      </c>
      <c r="D417" s="74">
        <f>'В-26,27'!G649</f>
        <v>420</v>
      </c>
      <c r="E417" s="74">
        <f>'В-26,27'!H649</f>
        <v>0</v>
      </c>
      <c r="F417" s="72"/>
    </row>
    <row r="418" spans="1:6" ht="56.25" x14ac:dyDescent="0.3">
      <c r="A418" s="12" t="s">
        <v>252</v>
      </c>
      <c r="B418" s="10" t="s">
        <v>795</v>
      </c>
      <c r="C418" s="10" t="s">
        <v>51</v>
      </c>
      <c r="D418" s="74">
        <f>D419+D431</f>
        <v>54151</v>
      </c>
      <c r="E418" s="74">
        <f>E419+E431</f>
        <v>54125</v>
      </c>
      <c r="F418" s="72"/>
    </row>
    <row r="419" spans="1:6" ht="37.5" x14ac:dyDescent="0.3">
      <c r="A419" s="12" t="s">
        <v>253</v>
      </c>
      <c r="B419" s="10" t="s">
        <v>796</v>
      </c>
      <c r="C419" s="10" t="s">
        <v>51</v>
      </c>
      <c r="D419" s="74">
        <f>D420</f>
        <v>2274</v>
      </c>
      <c r="E419" s="74">
        <f>E420</f>
        <v>2248</v>
      </c>
      <c r="F419" s="72"/>
    </row>
    <row r="420" spans="1:6" ht="37.5" x14ac:dyDescent="0.3">
      <c r="A420" s="12" t="s">
        <v>433</v>
      </c>
      <c r="B420" s="10" t="s">
        <v>796</v>
      </c>
      <c r="C420" s="10" t="s">
        <v>60</v>
      </c>
      <c r="D420" s="74">
        <f>'В-26,27'!G652</f>
        <v>2274</v>
      </c>
      <c r="E420" s="74">
        <f>'В-26,27'!H652</f>
        <v>2248</v>
      </c>
      <c r="F420" s="72"/>
    </row>
    <row r="421" spans="1:6" ht="37.5" x14ac:dyDescent="0.3">
      <c r="A421" s="12" t="s">
        <v>253</v>
      </c>
      <c r="B421" s="10" t="s">
        <v>797</v>
      </c>
      <c r="C421" s="10" t="s">
        <v>51</v>
      </c>
      <c r="D421" s="74">
        <f>D422</f>
        <v>24</v>
      </c>
      <c r="E421" s="74">
        <f>E422</f>
        <v>24</v>
      </c>
      <c r="F421" s="72"/>
    </row>
    <row r="422" spans="1:6" ht="37.5" x14ac:dyDescent="0.3">
      <c r="A422" s="12" t="s">
        <v>433</v>
      </c>
      <c r="B422" s="10" t="s">
        <v>797</v>
      </c>
      <c r="C422" s="10" t="s">
        <v>60</v>
      </c>
      <c r="D422" s="74">
        <f>'В-26,27'!G654</f>
        <v>24</v>
      </c>
      <c r="E422" s="74">
        <f>'В-26,27'!H654</f>
        <v>24</v>
      </c>
      <c r="F422" s="72"/>
    </row>
    <row r="423" spans="1:6" ht="37.5" hidden="1" x14ac:dyDescent="0.3">
      <c r="A423" s="124" t="s">
        <v>845</v>
      </c>
      <c r="B423" s="10" t="s">
        <v>846</v>
      </c>
      <c r="C423" s="10" t="s">
        <v>51</v>
      </c>
      <c r="D423" s="74">
        <f>D424</f>
        <v>0</v>
      </c>
      <c r="E423" s="74">
        <v>0</v>
      </c>
      <c r="F423" s="72"/>
    </row>
    <row r="424" spans="1:6" ht="37.5" hidden="1" x14ac:dyDescent="0.3">
      <c r="A424" s="124" t="s">
        <v>433</v>
      </c>
      <c r="B424" s="10" t="s">
        <v>846</v>
      </c>
      <c r="C424" s="10" t="s">
        <v>60</v>
      </c>
      <c r="D424" s="74">
        <f>'В-26,27'!G656</f>
        <v>0</v>
      </c>
      <c r="E424" s="74">
        <v>0</v>
      </c>
      <c r="F424" s="72"/>
    </row>
    <row r="425" spans="1:6" ht="37.5" hidden="1" x14ac:dyDescent="0.3">
      <c r="A425" s="124" t="s">
        <v>845</v>
      </c>
      <c r="B425" s="10" t="s">
        <v>847</v>
      </c>
      <c r="C425" s="10" t="s">
        <v>51</v>
      </c>
      <c r="D425" s="74">
        <f>D426</f>
        <v>0</v>
      </c>
      <c r="E425" s="74">
        <v>0</v>
      </c>
      <c r="F425" s="72"/>
    </row>
    <row r="426" spans="1:6" ht="37.5" hidden="1" x14ac:dyDescent="0.3">
      <c r="A426" s="124" t="s">
        <v>433</v>
      </c>
      <c r="B426" s="10" t="s">
        <v>847</v>
      </c>
      <c r="C426" s="10" t="s">
        <v>60</v>
      </c>
      <c r="D426" s="74">
        <f>'В-26,27'!G658</f>
        <v>0</v>
      </c>
      <c r="E426" s="74">
        <v>0</v>
      </c>
      <c r="F426" s="72"/>
    </row>
    <row r="427" spans="1:6" ht="75" hidden="1" x14ac:dyDescent="0.3">
      <c r="A427" s="124" t="s">
        <v>849</v>
      </c>
      <c r="B427" s="10" t="s">
        <v>848</v>
      </c>
      <c r="C427" s="10" t="s">
        <v>51</v>
      </c>
      <c r="D427" s="74">
        <f>D428</f>
        <v>0</v>
      </c>
      <c r="E427" s="74">
        <v>0</v>
      </c>
      <c r="F427" s="72"/>
    </row>
    <row r="428" spans="1:6" ht="37.5" hidden="1" x14ac:dyDescent="0.3">
      <c r="A428" s="124" t="s">
        <v>433</v>
      </c>
      <c r="B428" s="10" t="s">
        <v>848</v>
      </c>
      <c r="C428" s="10" t="s">
        <v>60</v>
      </c>
      <c r="D428" s="74">
        <f>'В-26,27'!G660</f>
        <v>0</v>
      </c>
      <c r="E428" s="74">
        <v>0</v>
      </c>
      <c r="F428" s="72"/>
    </row>
    <row r="429" spans="1:6" ht="37.5" x14ac:dyDescent="0.3">
      <c r="A429" s="224" t="s">
        <v>800</v>
      </c>
      <c r="B429" s="10" t="s">
        <v>471</v>
      </c>
      <c r="C429" s="10" t="s">
        <v>51</v>
      </c>
      <c r="D429" s="74">
        <f>D430</f>
        <v>52402</v>
      </c>
      <c r="E429" s="74">
        <f>E430</f>
        <v>52402</v>
      </c>
      <c r="F429" s="72"/>
    </row>
    <row r="430" spans="1:6" ht="18.75" x14ac:dyDescent="0.3">
      <c r="A430" s="88" t="s">
        <v>801</v>
      </c>
      <c r="B430" s="10" t="s">
        <v>370</v>
      </c>
      <c r="C430" s="10" t="s">
        <v>51</v>
      </c>
      <c r="D430" s="74">
        <f>D431+D433</f>
        <v>52402</v>
      </c>
      <c r="E430" s="74">
        <f>E431+E433</f>
        <v>52402</v>
      </c>
      <c r="F430" s="72"/>
    </row>
    <row r="431" spans="1:6" ht="37.5" x14ac:dyDescent="0.3">
      <c r="A431" s="12" t="s">
        <v>752</v>
      </c>
      <c r="B431" s="10" t="s">
        <v>798</v>
      </c>
      <c r="C431" s="91" t="s">
        <v>51</v>
      </c>
      <c r="D431" s="74">
        <f>D432</f>
        <v>51877</v>
      </c>
      <c r="E431" s="74">
        <f>E432</f>
        <v>51877</v>
      </c>
      <c r="F431" s="72"/>
    </row>
    <row r="432" spans="1:6" ht="37.5" x14ac:dyDescent="0.3">
      <c r="A432" s="12" t="s">
        <v>433</v>
      </c>
      <c r="B432" s="10" t="s">
        <v>798</v>
      </c>
      <c r="C432" s="91" t="s">
        <v>60</v>
      </c>
      <c r="D432" s="74">
        <f>'В-26,27'!G664</f>
        <v>51877</v>
      </c>
      <c r="E432" s="74">
        <f>'В-26,27'!H664</f>
        <v>51877</v>
      </c>
      <c r="F432" s="72"/>
    </row>
    <row r="433" spans="1:6" ht="37.5" x14ac:dyDescent="0.3">
      <c r="A433" s="12" t="s">
        <v>752</v>
      </c>
      <c r="B433" s="10" t="s">
        <v>799</v>
      </c>
      <c r="C433" s="91" t="s">
        <v>51</v>
      </c>
      <c r="D433" s="74">
        <f>D434</f>
        <v>525</v>
      </c>
      <c r="E433" s="74">
        <f>E434</f>
        <v>525</v>
      </c>
      <c r="F433" s="72"/>
    </row>
    <row r="434" spans="1:6" ht="37.5" x14ac:dyDescent="0.3">
      <c r="A434" s="12" t="s">
        <v>433</v>
      </c>
      <c r="B434" s="10" t="s">
        <v>799</v>
      </c>
      <c r="C434" s="91" t="s">
        <v>60</v>
      </c>
      <c r="D434" s="74">
        <f>'В-26,27'!G666</f>
        <v>525</v>
      </c>
      <c r="E434" s="74">
        <f>'В-26,27'!H666</f>
        <v>525</v>
      </c>
      <c r="F434" s="72"/>
    </row>
    <row r="435" spans="1:6" ht="18.75" hidden="1" x14ac:dyDescent="0.3">
      <c r="A435" s="12" t="s">
        <v>69</v>
      </c>
      <c r="B435" s="10" t="s">
        <v>373</v>
      </c>
      <c r="C435" s="10" t="s">
        <v>51</v>
      </c>
      <c r="D435" s="74">
        <f>D436</f>
        <v>0</v>
      </c>
      <c r="E435" s="74">
        <f>E436</f>
        <v>0</v>
      </c>
      <c r="F435" s="72"/>
    </row>
    <row r="436" spans="1:6" ht="56.25" hidden="1" x14ac:dyDescent="0.3">
      <c r="A436" s="12" t="s">
        <v>372</v>
      </c>
      <c r="B436" s="10" t="s">
        <v>374</v>
      </c>
      <c r="C436" s="10" t="s">
        <v>51</v>
      </c>
      <c r="D436" s="74">
        <f>D437</f>
        <v>0</v>
      </c>
      <c r="E436" s="74">
        <f>E437</f>
        <v>0</v>
      </c>
      <c r="F436" s="72"/>
    </row>
    <row r="437" spans="1:6" ht="37.5" hidden="1" x14ac:dyDescent="0.3">
      <c r="A437" s="12" t="s">
        <v>433</v>
      </c>
      <c r="B437" s="10" t="s">
        <v>374</v>
      </c>
      <c r="C437" s="10" t="s">
        <v>60</v>
      </c>
      <c r="D437" s="74">
        <f>'В-26,27'!G669</f>
        <v>0</v>
      </c>
      <c r="E437" s="74">
        <f>'В-26,27'!H669</f>
        <v>0</v>
      </c>
      <c r="F437" s="72"/>
    </row>
    <row r="438" spans="1:6" ht="37.5" hidden="1" x14ac:dyDescent="0.3">
      <c r="A438" s="12" t="s">
        <v>470</v>
      </c>
      <c r="B438" s="10" t="s">
        <v>471</v>
      </c>
      <c r="C438" s="10" t="s">
        <v>51</v>
      </c>
      <c r="D438" s="74">
        <f>D442+D439</f>
        <v>0</v>
      </c>
      <c r="E438" s="74">
        <f>E439</f>
        <v>0</v>
      </c>
      <c r="F438" s="72"/>
    </row>
    <row r="439" spans="1:6" ht="18.75" hidden="1" x14ac:dyDescent="0.3">
      <c r="A439" s="42" t="s">
        <v>368</v>
      </c>
      <c r="B439" s="10" t="s">
        <v>370</v>
      </c>
      <c r="C439" s="10" t="s">
        <v>51</v>
      </c>
      <c r="D439" s="74">
        <f>D440+D445</f>
        <v>0</v>
      </c>
      <c r="E439" s="74">
        <f>E440+E445</f>
        <v>0</v>
      </c>
      <c r="F439" s="72"/>
    </row>
    <row r="440" spans="1:6" ht="37.5" hidden="1" x14ac:dyDescent="0.3">
      <c r="A440" s="42" t="s">
        <v>369</v>
      </c>
      <c r="B440" s="10" t="s">
        <v>524</v>
      </c>
      <c r="C440" s="10" t="s">
        <v>51</v>
      </c>
      <c r="D440" s="74">
        <f>D441</f>
        <v>0</v>
      </c>
      <c r="E440" s="74">
        <f>E441</f>
        <v>0</v>
      </c>
      <c r="F440" s="72"/>
    </row>
    <row r="441" spans="1:6" ht="37.5" hidden="1" x14ac:dyDescent="0.3">
      <c r="A441" s="12" t="s">
        <v>433</v>
      </c>
      <c r="B441" s="10" t="s">
        <v>524</v>
      </c>
      <c r="C441" s="10" t="s">
        <v>60</v>
      </c>
      <c r="D441" s="74">
        <f>'В-26,27'!G673</f>
        <v>0</v>
      </c>
      <c r="E441" s="74">
        <f>'В-26,27'!H673</f>
        <v>0</v>
      </c>
      <c r="F441" s="72"/>
    </row>
    <row r="442" spans="1:6" ht="37.5" hidden="1" x14ac:dyDescent="0.3">
      <c r="A442" s="12" t="s">
        <v>469</v>
      </c>
      <c r="B442" s="10" t="s">
        <v>472</v>
      </c>
      <c r="C442" s="10" t="s">
        <v>51</v>
      </c>
      <c r="D442" s="74">
        <f>D443</f>
        <v>0</v>
      </c>
      <c r="E442" s="74">
        <f>E443</f>
        <v>0</v>
      </c>
      <c r="F442" s="72"/>
    </row>
    <row r="443" spans="1:6" ht="56.25" hidden="1" x14ac:dyDescent="0.3">
      <c r="A443" s="12" t="s">
        <v>372</v>
      </c>
      <c r="B443" s="10" t="s">
        <v>473</v>
      </c>
      <c r="C443" s="10" t="s">
        <v>51</v>
      </c>
      <c r="D443" s="74">
        <f>D444</f>
        <v>0</v>
      </c>
      <c r="E443" s="74">
        <f>E444</f>
        <v>0</v>
      </c>
      <c r="F443" s="72"/>
    </row>
    <row r="444" spans="1:6" ht="37.5" hidden="1" x14ac:dyDescent="0.3">
      <c r="A444" s="12" t="s">
        <v>433</v>
      </c>
      <c r="B444" s="10" t="s">
        <v>473</v>
      </c>
      <c r="C444" s="10" t="s">
        <v>60</v>
      </c>
      <c r="D444" s="74">
        <f>'[2]В-21'!G500</f>
        <v>0</v>
      </c>
      <c r="E444" s="74">
        <f>'[2]В-21'!H500</f>
        <v>0</v>
      </c>
      <c r="F444" s="72"/>
    </row>
    <row r="445" spans="1:6" ht="56.25" hidden="1" x14ac:dyDescent="0.3">
      <c r="A445" s="12" t="s">
        <v>679</v>
      </c>
      <c r="B445" s="29" t="s">
        <v>678</v>
      </c>
      <c r="C445" s="29" t="s">
        <v>51</v>
      </c>
      <c r="D445" s="74">
        <f>D446</f>
        <v>0</v>
      </c>
      <c r="E445" s="74">
        <f>E446</f>
        <v>0</v>
      </c>
      <c r="F445" s="72"/>
    </row>
    <row r="446" spans="1:6" ht="18.75" hidden="1" x14ac:dyDescent="0.3">
      <c r="A446" s="12" t="s">
        <v>59</v>
      </c>
      <c r="B446" s="29" t="s">
        <v>678</v>
      </c>
      <c r="C446" s="29" t="s">
        <v>60</v>
      </c>
      <c r="D446" s="74">
        <f>'В-26,27'!G701</f>
        <v>0</v>
      </c>
      <c r="E446" s="74">
        <f>'В-26,27'!H701</f>
        <v>0</v>
      </c>
      <c r="F446" s="72"/>
    </row>
    <row r="447" spans="1:6" ht="43.5" customHeight="1" x14ac:dyDescent="0.35">
      <c r="A447" s="51" t="s">
        <v>9</v>
      </c>
      <c r="B447" s="49" t="s">
        <v>102</v>
      </c>
      <c r="C447" s="50" t="s">
        <v>51</v>
      </c>
      <c r="D447" s="94">
        <f>D448</f>
        <v>530</v>
      </c>
      <c r="E447" s="94">
        <f>E448</f>
        <v>200</v>
      </c>
      <c r="F447" s="72"/>
    </row>
    <row r="448" spans="1:6" ht="18.75" x14ac:dyDescent="0.3">
      <c r="A448" s="12" t="s">
        <v>63</v>
      </c>
      <c r="B448" s="10" t="s">
        <v>271</v>
      </c>
      <c r="C448" s="10" t="s">
        <v>51</v>
      </c>
      <c r="D448" s="74">
        <f>D449+D451+D455+D453</f>
        <v>530</v>
      </c>
      <c r="E448" s="74">
        <f t="shared" ref="E448:F448" si="6">E449+E451+E455+E453</f>
        <v>200</v>
      </c>
      <c r="F448" s="74">
        <f t="shared" si="6"/>
        <v>0</v>
      </c>
    </row>
    <row r="449" spans="1:6" ht="37.5" hidden="1" x14ac:dyDescent="0.3">
      <c r="A449" s="12" t="s">
        <v>279</v>
      </c>
      <c r="B449" s="10" t="s">
        <v>280</v>
      </c>
      <c r="C449" s="10" t="s">
        <v>51</v>
      </c>
      <c r="D449" s="74">
        <f>D450</f>
        <v>0</v>
      </c>
      <c r="E449" s="74">
        <f>E450</f>
        <v>0</v>
      </c>
      <c r="F449" s="72"/>
    </row>
    <row r="450" spans="1:6" ht="37.5" hidden="1" x14ac:dyDescent="0.3">
      <c r="A450" s="12" t="s">
        <v>433</v>
      </c>
      <c r="B450" s="10" t="s">
        <v>280</v>
      </c>
      <c r="C450" s="10" t="s">
        <v>60</v>
      </c>
      <c r="D450" s="74">
        <f>'В-26,27'!G798</f>
        <v>0</v>
      </c>
      <c r="E450" s="74">
        <f>'В-26,27'!H798</f>
        <v>0</v>
      </c>
      <c r="F450" s="72"/>
    </row>
    <row r="451" spans="1:6" ht="75" hidden="1" x14ac:dyDescent="0.3">
      <c r="A451" s="12" t="s">
        <v>281</v>
      </c>
      <c r="B451" s="10" t="s">
        <v>282</v>
      </c>
      <c r="C451" s="10" t="s">
        <v>51</v>
      </c>
      <c r="D451" s="74">
        <f>D452</f>
        <v>0</v>
      </c>
      <c r="E451" s="74">
        <f>E452</f>
        <v>0</v>
      </c>
      <c r="F451" s="72"/>
    </row>
    <row r="452" spans="1:6" ht="37.5" hidden="1" x14ac:dyDescent="0.3">
      <c r="A452" s="12" t="s">
        <v>433</v>
      </c>
      <c r="B452" s="10" t="s">
        <v>282</v>
      </c>
      <c r="C452" s="10" t="s">
        <v>60</v>
      </c>
      <c r="D452" s="74">
        <f>'[2]В-21'!G568</f>
        <v>0</v>
      </c>
      <c r="E452" s="74">
        <f>'[2]В-21'!H568</f>
        <v>0</v>
      </c>
      <c r="F452" s="72"/>
    </row>
    <row r="453" spans="1:6" ht="56.25" x14ac:dyDescent="0.3">
      <c r="A453" s="124" t="s">
        <v>851</v>
      </c>
      <c r="B453" s="91" t="s">
        <v>850</v>
      </c>
      <c r="C453" s="10" t="s">
        <v>51</v>
      </c>
      <c r="D453" s="74">
        <f>D454</f>
        <v>530</v>
      </c>
      <c r="E453" s="74">
        <f>E454</f>
        <v>200</v>
      </c>
      <c r="F453" s="72"/>
    </row>
    <row r="454" spans="1:6" ht="18.75" x14ac:dyDescent="0.3">
      <c r="A454" s="12" t="s">
        <v>59</v>
      </c>
      <c r="B454" s="91" t="s">
        <v>850</v>
      </c>
      <c r="C454" s="10" t="s">
        <v>60</v>
      </c>
      <c r="D454" s="74">
        <f>'В-26,27'!G815</f>
        <v>530</v>
      </c>
      <c r="E454" s="74">
        <f>'В-26,27'!H815</f>
        <v>200</v>
      </c>
      <c r="F454" s="72"/>
    </row>
    <row r="455" spans="1:6" ht="57" hidden="1" customHeight="1" x14ac:dyDescent="0.3">
      <c r="A455" s="69" t="s">
        <v>503</v>
      </c>
      <c r="B455" s="11" t="s">
        <v>502</v>
      </c>
      <c r="C455" s="10" t="s">
        <v>51</v>
      </c>
      <c r="D455" s="74">
        <f>D456</f>
        <v>0</v>
      </c>
      <c r="E455" s="74">
        <f>E456</f>
        <v>0</v>
      </c>
      <c r="F455" s="72"/>
    </row>
    <row r="456" spans="1:6" ht="21" hidden="1" customHeight="1" x14ac:dyDescent="0.3">
      <c r="A456" s="12" t="s">
        <v>61</v>
      </c>
      <c r="B456" s="11" t="s">
        <v>502</v>
      </c>
      <c r="C456" s="10" t="s">
        <v>62</v>
      </c>
      <c r="D456" s="74">
        <f>'В-26,27'!G504</f>
        <v>0</v>
      </c>
      <c r="E456" s="74">
        <f>'В-26,27'!H504</f>
        <v>0</v>
      </c>
      <c r="F456" s="72"/>
    </row>
    <row r="457" spans="1:6" ht="39" x14ac:dyDescent="0.35">
      <c r="A457" s="54" t="s">
        <v>10</v>
      </c>
      <c r="B457" s="49" t="s">
        <v>28</v>
      </c>
      <c r="C457" s="50" t="s">
        <v>51</v>
      </c>
      <c r="D457" s="94">
        <f>D458+D470+D468+D473+D477+D599+D601</f>
        <v>27119.95</v>
      </c>
      <c r="E457" s="94">
        <f>E458+E470+E473+E477</f>
        <v>34935.300000000003</v>
      </c>
      <c r="F457" s="72"/>
    </row>
    <row r="458" spans="1:6" ht="18.75" x14ac:dyDescent="0.3">
      <c r="A458" s="12" t="s">
        <v>63</v>
      </c>
      <c r="B458" s="10" t="s">
        <v>285</v>
      </c>
      <c r="C458" s="10" t="s">
        <v>51</v>
      </c>
      <c r="D458" s="74">
        <f>D459+D461+D465</f>
        <v>22363.149999999998</v>
      </c>
      <c r="E458" s="74">
        <f>E459+E461</f>
        <v>27211.8</v>
      </c>
      <c r="F458" s="72"/>
    </row>
    <row r="459" spans="1:6" ht="37.5" hidden="1" x14ac:dyDescent="0.3">
      <c r="A459" s="12" t="s">
        <v>284</v>
      </c>
      <c r="B459" s="10" t="s">
        <v>286</v>
      </c>
      <c r="C459" s="10" t="s">
        <v>51</v>
      </c>
      <c r="D459" s="74">
        <f>D460</f>
        <v>0</v>
      </c>
      <c r="E459" s="74">
        <f>E460</f>
        <v>0</v>
      </c>
      <c r="F459" s="72"/>
    </row>
    <row r="460" spans="1:6" ht="37.5" hidden="1" x14ac:dyDescent="0.3">
      <c r="A460" s="12" t="s">
        <v>433</v>
      </c>
      <c r="B460" s="10" t="s">
        <v>286</v>
      </c>
      <c r="C460" s="10" t="s">
        <v>60</v>
      </c>
      <c r="D460" s="74">
        <f>'В-26,27'!G819</f>
        <v>0</v>
      </c>
      <c r="E460" s="74">
        <f>'В-26,27'!H819</f>
        <v>0</v>
      </c>
      <c r="F460" s="72"/>
    </row>
    <row r="461" spans="1:6" ht="18.75" x14ac:dyDescent="0.3">
      <c r="A461" s="12" t="s">
        <v>292</v>
      </c>
      <c r="B461" s="10" t="s">
        <v>295</v>
      </c>
      <c r="C461" s="10" t="s">
        <v>51</v>
      </c>
      <c r="D461" s="74">
        <f>D462+D463+D464+D597+D598</f>
        <v>22363.149999999998</v>
      </c>
      <c r="E461" s="74">
        <f>E462</f>
        <v>27211.8</v>
      </c>
      <c r="F461" s="72"/>
    </row>
    <row r="462" spans="1:6" ht="37.5" x14ac:dyDescent="0.3">
      <c r="A462" s="12" t="s">
        <v>433</v>
      </c>
      <c r="B462" s="10" t="s">
        <v>295</v>
      </c>
      <c r="C462" s="10" t="s">
        <v>60</v>
      </c>
      <c r="D462" s="74">
        <f>'В-26,27'!G850+'В-26,27'!G821</f>
        <v>22363.149999999998</v>
      </c>
      <c r="E462" s="74">
        <f>'В-26,27'!H850+'В-26,27'!H821</f>
        <v>27211.8</v>
      </c>
      <c r="F462" s="72"/>
    </row>
    <row r="463" spans="1:6" ht="37.5" hidden="1" outlineLevel="1" x14ac:dyDescent="0.3">
      <c r="A463" s="12" t="s">
        <v>293</v>
      </c>
      <c r="B463" s="10" t="s">
        <v>295</v>
      </c>
      <c r="C463" s="10" t="s">
        <v>294</v>
      </c>
      <c r="D463" s="74">
        <f>'[2]В-21'!G597</f>
        <v>0</v>
      </c>
      <c r="E463" s="74">
        <f>'[2]В-21'!H597</f>
        <v>0</v>
      </c>
      <c r="F463" s="72"/>
    </row>
    <row r="464" spans="1:6" ht="18.75" hidden="1" outlineLevel="1" x14ac:dyDescent="0.3">
      <c r="A464" s="12" t="s">
        <v>61</v>
      </c>
      <c r="B464" s="10" t="s">
        <v>295</v>
      </c>
      <c r="C464" s="10" t="s">
        <v>62</v>
      </c>
      <c r="D464" s="74">
        <f>'[2]В-21'!G464</f>
        <v>0</v>
      </c>
      <c r="E464" s="74">
        <f>'[2]В-21'!H464</f>
        <v>0</v>
      </c>
      <c r="F464" s="72"/>
    </row>
    <row r="465" spans="1:6" ht="18.75" hidden="1" collapsed="1" x14ac:dyDescent="0.3">
      <c r="A465" s="87" t="s">
        <v>620</v>
      </c>
      <c r="B465" s="10" t="s">
        <v>615</v>
      </c>
      <c r="C465" s="10" t="s">
        <v>51</v>
      </c>
      <c r="D465" s="74">
        <f>D466+D467</f>
        <v>0</v>
      </c>
      <c r="E465" s="74">
        <f>E466+E467</f>
        <v>-500</v>
      </c>
      <c r="F465" s="72"/>
    </row>
    <row r="466" spans="1:6" ht="37.5" hidden="1" customHeight="1" outlineLevel="1" x14ac:dyDescent="0.3">
      <c r="A466" s="12" t="s">
        <v>433</v>
      </c>
      <c r="B466" s="10" t="s">
        <v>615</v>
      </c>
      <c r="C466" s="10" t="s">
        <v>60</v>
      </c>
      <c r="D466" s="74">
        <f>'В-26,27'!G852</f>
        <v>0</v>
      </c>
      <c r="E466" s="74">
        <f>'В-26,27'!H852</f>
        <v>-500</v>
      </c>
      <c r="F466" s="72"/>
    </row>
    <row r="467" spans="1:6" ht="37.5" hidden="1" x14ac:dyDescent="0.3">
      <c r="A467" s="12" t="s">
        <v>267</v>
      </c>
      <c r="B467" s="10" t="s">
        <v>615</v>
      </c>
      <c r="C467" s="10" t="s">
        <v>264</v>
      </c>
      <c r="D467" s="74">
        <f>'В-26,27'!G853</f>
        <v>0</v>
      </c>
      <c r="E467" s="74">
        <f>'В-26,27'!H853</f>
        <v>0</v>
      </c>
      <c r="F467" s="72"/>
    </row>
    <row r="468" spans="1:6" ht="56.25" hidden="1" x14ac:dyDescent="0.3">
      <c r="A468" s="69" t="s">
        <v>503</v>
      </c>
      <c r="B468" s="11" t="s">
        <v>680</v>
      </c>
      <c r="C468" s="10" t="s">
        <v>51</v>
      </c>
      <c r="D468" s="74">
        <f>D469</f>
        <v>0</v>
      </c>
      <c r="E468" s="74">
        <f>E469</f>
        <v>0</v>
      </c>
      <c r="F468" s="72"/>
    </row>
    <row r="469" spans="1:6" ht="18.75" hidden="1" x14ac:dyDescent="0.3">
      <c r="A469" s="12" t="s">
        <v>61</v>
      </c>
      <c r="B469" s="11" t="s">
        <v>680</v>
      </c>
      <c r="C469" s="10" t="s">
        <v>62</v>
      </c>
      <c r="D469" s="74">
        <f>'В-26,27'!G506</f>
        <v>0</v>
      </c>
      <c r="E469" s="74">
        <f>'В-26,27'!H506</f>
        <v>0</v>
      </c>
      <c r="F469" s="72"/>
    </row>
    <row r="470" spans="1:6" ht="56.25" hidden="1" x14ac:dyDescent="0.3">
      <c r="A470" s="12" t="s">
        <v>174</v>
      </c>
      <c r="B470" s="10" t="s">
        <v>248</v>
      </c>
      <c r="C470" s="10" t="s">
        <v>51</v>
      </c>
      <c r="D470" s="74">
        <f>D471</f>
        <v>0</v>
      </c>
      <c r="E470" s="74">
        <f>E471</f>
        <v>0</v>
      </c>
      <c r="F470" s="72"/>
    </row>
    <row r="471" spans="1:6" ht="112.5" hidden="1" x14ac:dyDescent="0.3">
      <c r="A471" s="12" t="s">
        <v>542</v>
      </c>
      <c r="B471" s="10" t="s">
        <v>249</v>
      </c>
      <c r="C471" s="10" t="s">
        <v>51</v>
      </c>
      <c r="D471" s="74">
        <f>D472</f>
        <v>0</v>
      </c>
      <c r="E471" s="74">
        <f>E472</f>
        <v>0</v>
      </c>
      <c r="F471" s="72"/>
    </row>
    <row r="472" spans="1:6" ht="37.5" hidden="1" x14ac:dyDescent="0.3">
      <c r="A472" s="12" t="s">
        <v>433</v>
      </c>
      <c r="B472" s="10" t="s">
        <v>249</v>
      </c>
      <c r="C472" s="10" t="s">
        <v>60</v>
      </c>
      <c r="D472" s="74">
        <f>'В-26,27'!G625</f>
        <v>0</v>
      </c>
      <c r="E472" s="74">
        <f>'В-26,27'!H625</f>
        <v>0</v>
      </c>
      <c r="F472" s="72"/>
    </row>
    <row r="473" spans="1:6" ht="56.25" x14ac:dyDescent="0.3">
      <c r="A473" s="12" t="s">
        <v>252</v>
      </c>
      <c r="B473" s="10" t="s">
        <v>689</v>
      </c>
      <c r="C473" s="10" t="s">
        <v>51</v>
      </c>
      <c r="D473" s="74">
        <f>D474</f>
        <v>0</v>
      </c>
      <c r="E473" s="74">
        <f>E474</f>
        <v>7335.5</v>
      </c>
      <c r="F473" s="72"/>
    </row>
    <row r="474" spans="1:6" ht="37.5" x14ac:dyDescent="0.3">
      <c r="A474" s="89" t="s">
        <v>687</v>
      </c>
      <c r="B474" s="10" t="s">
        <v>688</v>
      </c>
      <c r="C474" s="10" t="s">
        <v>51</v>
      </c>
      <c r="D474" s="74">
        <f>D475</f>
        <v>0</v>
      </c>
      <c r="E474" s="74">
        <f>E475</f>
        <v>7335.5</v>
      </c>
      <c r="F474" s="72"/>
    </row>
    <row r="475" spans="1:6" ht="37.5" x14ac:dyDescent="0.3">
      <c r="A475" s="12" t="s">
        <v>433</v>
      </c>
      <c r="B475" s="10" t="s">
        <v>688</v>
      </c>
      <c r="C475" s="10" t="s">
        <v>60</v>
      </c>
      <c r="D475" s="74">
        <f>'В-26,27'!G856</f>
        <v>0</v>
      </c>
      <c r="E475" s="74">
        <f>'В-26,27'!H856</f>
        <v>7335.5</v>
      </c>
      <c r="F475" s="72"/>
    </row>
    <row r="476" spans="1:6" ht="37.5" x14ac:dyDescent="0.3">
      <c r="A476" s="89" t="s">
        <v>709</v>
      </c>
      <c r="B476" s="10" t="s">
        <v>708</v>
      </c>
      <c r="C476" s="10" t="s">
        <v>51</v>
      </c>
      <c r="D476" s="74">
        <f>D477</f>
        <v>0</v>
      </c>
      <c r="E476" s="74">
        <f>E477</f>
        <v>388</v>
      </c>
      <c r="F476" s="72"/>
    </row>
    <row r="477" spans="1:6" ht="37.5" x14ac:dyDescent="0.3">
      <c r="A477" s="12" t="s">
        <v>433</v>
      </c>
      <c r="B477" s="10" t="s">
        <v>708</v>
      </c>
      <c r="C477" s="10" t="s">
        <v>60</v>
      </c>
      <c r="D477" s="74">
        <f>'В-26,27'!G858</f>
        <v>0</v>
      </c>
      <c r="E477" s="74">
        <f>'В-26,27'!H858</f>
        <v>388</v>
      </c>
      <c r="F477" s="72"/>
    </row>
    <row r="478" spans="1:6" ht="39" hidden="1" x14ac:dyDescent="0.35">
      <c r="A478" s="51" t="s">
        <v>11</v>
      </c>
      <c r="B478" s="49" t="s">
        <v>29</v>
      </c>
      <c r="C478" s="50" t="s">
        <v>51</v>
      </c>
      <c r="D478" s="94">
        <f>D479+D519+D557</f>
        <v>0</v>
      </c>
      <c r="E478" s="94">
        <f>E479+E519+E557</f>
        <v>-233.94900000000001</v>
      </c>
      <c r="F478" s="72"/>
    </row>
    <row r="479" spans="1:6" ht="18.75" hidden="1" outlineLevel="1" x14ac:dyDescent="0.3">
      <c r="A479" s="12" t="s">
        <v>63</v>
      </c>
      <c r="B479" s="10" t="s">
        <v>254</v>
      </c>
      <c r="C479" s="10" t="s">
        <v>51</v>
      </c>
      <c r="D479" s="74">
        <f>D482+D480</f>
        <v>0</v>
      </c>
      <c r="E479" s="74">
        <f>E482+E480</f>
        <v>0</v>
      </c>
      <c r="F479" s="72"/>
    </row>
    <row r="480" spans="1:6" ht="18.75" hidden="1" outlineLevel="1" x14ac:dyDescent="0.3">
      <c r="A480" s="12" t="s">
        <v>292</v>
      </c>
      <c r="B480" s="29" t="s">
        <v>710</v>
      </c>
      <c r="C480" s="10" t="s">
        <v>51</v>
      </c>
      <c r="D480" s="74">
        <f>D481</f>
        <v>0</v>
      </c>
      <c r="E480" s="74">
        <f>E481</f>
        <v>0</v>
      </c>
      <c r="F480" s="72"/>
    </row>
    <row r="481" spans="1:6" ht="37.5" hidden="1" outlineLevel="1" x14ac:dyDescent="0.3">
      <c r="A481" s="12" t="s">
        <v>433</v>
      </c>
      <c r="B481" s="29" t="s">
        <v>710</v>
      </c>
      <c r="C481" s="29" t="s">
        <v>60</v>
      </c>
      <c r="D481" s="74">
        <f>'В-26,27'!G887</f>
        <v>0</v>
      </c>
      <c r="E481" s="74">
        <f>'В-26,27'!H887</f>
        <v>0</v>
      </c>
      <c r="F481" s="72"/>
    </row>
    <row r="482" spans="1:6" ht="18.75" hidden="1" outlineLevel="1" x14ac:dyDescent="0.3">
      <c r="A482" s="12" t="s">
        <v>65</v>
      </c>
      <c r="B482" s="10" t="s">
        <v>255</v>
      </c>
      <c r="C482" s="10" t="s">
        <v>51</v>
      </c>
      <c r="D482" s="74">
        <f>D483+D485+D487+D489+D491+D493+D495+D497+D499+D501+D503+D505+D507+D509+D511+D513+D515+D517</f>
        <v>0</v>
      </c>
      <c r="E482" s="74">
        <f>E483+E485+E487+E489+E491+E493+E495+E497+E499+E501+E503+E505+E507+E509+E511+E513+E515+E517</f>
        <v>0</v>
      </c>
      <c r="F482" s="72"/>
    </row>
    <row r="483" spans="1:6" ht="93.75" hidden="1" outlineLevel="1" x14ac:dyDescent="0.3">
      <c r="A483" s="12" t="s">
        <v>602</v>
      </c>
      <c r="B483" s="11" t="s">
        <v>670</v>
      </c>
      <c r="C483" s="10" t="s">
        <v>51</v>
      </c>
      <c r="D483" s="74">
        <f>D484</f>
        <v>0</v>
      </c>
      <c r="E483" s="74">
        <f>E484</f>
        <v>0</v>
      </c>
      <c r="F483" s="72"/>
    </row>
    <row r="484" spans="1:6" ht="37.5" hidden="1" outlineLevel="1" x14ac:dyDescent="0.3">
      <c r="A484" s="12" t="s">
        <v>433</v>
      </c>
      <c r="B484" s="11" t="s">
        <v>670</v>
      </c>
      <c r="C484" s="10" t="s">
        <v>60</v>
      </c>
      <c r="D484" s="74">
        <f>'В-26,27'!G1110</f>
        <v>0</v>
      </c>
      <c r="E484" s="74">
        <f>'В-26,27'!H1110</f>
        <v>0</v>
      </c>
      <c r="F484" s="72"/>
    </row>
    <row r="485" spans="1:6" ht="56.25" hidden="1" outlineLevel="1" x14ac:dyDescent="0.3">
      <c r="A485" s="12" t="s">
        <v>596</v>
      </c>
      <c r="B485" s="29" t="s">
        <v>669</v>
      </c>
      <c r="C485" s="10" t="s">
        <v>51</v>
      </c>
      <c r="D485" s="74">
        <f>D486</f>
        <v>0</v>
      </c>
      <c r="E485" s="74">
        <f>E486</f>
        <v>0</v>
      </c>
      <c r="F485" s="72"/>
    </row>
    <row r="486" spans="1:6" ht="37.5" hidden="1" outlineLevel="1" x14ac:dyDescent="0.3">
      <c r="A486" s="12" t="s">
        <v>433</v>
      </c>
      <c r="B486" s="29" t="s">
        <v>669</v>
      </c>
      <c r="C486" s="10" t="s">
        <v>60</v>
      </c>
      <c r="D486" s="74">
        <f>'В-26,27'!G889</f>
        <v>0</v>
      </c>
      <c r="E486" s="74">
        <f>'В-26,27'!H889</f>
        <v>0</v>
      </c>
      <c r="F486" s="72"/>
    </row>
    <row r="487" spans="1:6" ht="56.25" hidden="1" outlineLevel="1" x14ac:dyDescent="0.3">
      <c r="A487" s="12" t="s">
        <v>582</v>
      </c>
      <c r="B487" s="29" t="s">
        <v>668</v>
      </c>
      <c r="C487" s="10" t="s">
        <v>51</v>
      </c>
      <c r="D487" s="74">
        <f>D488</f>
        <v>0</v>
      </c>
      <c r="E487" s="74">
        <f>E488</f>
        <v>0</v>
      </c>
      <c r="F487" s="72"/>
    </row>
    <row r="488" spans="1:6" ht="37.5" hidden="1" outlineLevel="1" x14ac:dyDescent="0.3">
      <c r="A488" s="12" t="s">
        <v>433</v>
      </c>
      <c r="B488" s="29" t="s">
        <v>668</v>
      </c>
      <c r="C488" s="10" t="s">
        <v>60</v>
      </c>
      <c r="D488" s="74">
        <f>'В-26,27'!G734</f>
        <v>0</v>
      </c>
      <c r="E488" s="74">
        <f>'В-26,27'!H734</f>
        <v>0</v>
      </c>
      <c r="F488" s="72"/>
    </row>
    <row r="489" spans="1:6" ht="75" hidden="1" outlineLevel="1" x14ac:dyDescent="0.3">
      <c r="A489" s="12" t="s">
        <v>583</v>
      </c>
      <c r="B489" s="29" t="s">
        <v>667</v>
      </c>
      <c r="C489" s="10" t="s">
        <v>51</v>
      </c>
      <c r="D489" s="74">
        <f>D490</f>
        <v>0</v>
      </c>
      <c r="E489" s="74">
        <f>E490</f>
        <v>0</v>
      </c>
      <c r="F489" s="72"/>
    </row>
    <row r="490" spans="1:6" ht="37.5" hidden="1" outlineLevel="1" x14ac:dyDescent="0.3">
      <c r="A490" s="12" t="s">
        <v>433</v>
      </c>
      <c r="B490" s="29" t="s">
        <v>667</v>
      </c>
      <c r="C490" s="10" t="s">
        <v>60</v>
      </c>
      <c r="D490" s="74">
        <f>'В-26,27'!G736</f>
        <v>0</v>
      </c>
      <c r="E490" s="74">
        <f>'В-26,27'!H736</f>
        <v>0</v>
      </c>
      <c r="F490" s="72"/>
    </row>
    <row r="491" spans="1:6" ht="112.5" hidden="1" outlineLevel="1" x14ac:dyDescent="0.3">
      <c r="A491" s="12" t="s">
        <v>603</v>
      </c>
      <c r="B491" s="11" t="s">
        <v>666</v>
      </c>
      <c r="C491" s="11" t="s">
        <v>51</v>
      </c>
      <c r="D491" s="74">
        <f>D492</f>
        <v>0</v>
      </c>
      <c r="E491" s="74">
        <f>E492</f>
        <v>0</v>
      </c>
      <c r="F491" s="72"/>
    </row>
    <row r="492" spans="1:6" ht="37.5" hidden="1" outlineLevel="1" x14ac:dyDescent="0.3">
      <c r="A492" s="12" t="s">
        <v>267</v>
      </c>
      <c r="B492" s="11" t="s">
        <v>666</v>
      </c>
      <c r="C492" s="11" t="s">
        <v>264</v>
      </c>
      <c r="D492" s="74">
        <f>'В-26,27'!G1113</f>
        <v>0</v>
      </c>
      <c r="E492" s="74">
        <f>'В-26,27'!H1113</f>
        <v>0</v>
      </c>
      <c r="F492" s="72"/>
    </row>
    <row r="493" spans="1:6" ht="93.75" hidden="1" outlineLevel="1" x14ac:dyDescent="0.3">
      <c r="A493" s="12" t="s">
        <v>612</v>
      </c>
      <c r="B493" s="11" t="s">
        <v>608</v>
      </c>
      <c r="C493" s="10" t="s">
        <v>51</v>
      </c>
      <c r="D493" s="74">
        <f>D494</f>
        <v>0</v>
      </c>
      <c r="E493" s="74">
        <f>E494</f>
        <v>0</v>
      </c>
      <c r="F493" s="72"/>
    </row>
    <row r="494" spans="1:6" ht="37.5" hidden="1" outlineLevel="1" x14ac:dyDescent="0.3">
      <c r="A494" s="12" t="s">
        <v>267</v>
      </c>
      <c r="B494" s="11" t="s">
        <v>608</v>
      </c>
      <c r="C494" s="1">
        <v>600</v>
      </c>
      <c r="D494" s="74">
        <f>'В-26,27'!G1232</f>
        <v>0</v>
      </c>
      <c r="E494" s="74">
        <f>'В-26,27'!H1232</f>
        <v>0</v>
      </c>
      <c r="F494" s="72"/>
    </row>
    <row r="495" spans="1:6" ht="56.25" hidden="1" outlineLevel="1" x14ac:dyDescent="0.3">
      <c r="A495" s="12" t="s">
        <v>597</v>
      </c>
      <c r="B495" s="29" t="s">
        <v>665</v>
      </c>
      <c r="C495" s="10" t="s">
        <v>51</v>
      </c>
      <c r="D495" s="74">
        <f>D496</f>
        <v>0</v>
      </c>
      <c r="E495" s="74">
        <f>E496</f>
        <v>0</v>
      </c>
      <c r="F495" s="72"/>
    </row>
    <row r="496" spans="1:6" ht="37.5" hidden="1" outlineLevel="1" x14ac:dyDescent="0.3">
      <c r="A496" s="12" t="s">
        <v>433</v>
      </c>
      <c r="B496" s="29" t="s">
        <v>665</v>
      </c>
      <c r="C496" s="10" t="s">
        <v>60</v>
      </c>
      <c r="D496" s="74">
        <f>'В-26,27'!G891</f>
        <v>0</v>
      </c>
      <c r="E496" s="74">
        <f>'В-26,27'!H891</f>
        <v>0</v>
      </c>
      <c r="F496" s="72"/>
    </row>
    <row r="497" spans="1:6" ht="56.25" hidden="1" outlineLevel="1" x14ac:dyDescent="0.3">
      <c r="A497" s="12" t="s">
        <v>584</v>
      </c>
      <c r="B497" s="29" t="s">
        <v>664</v>
      </c>
      <c r="C497" s="10" t="s">
        <v>51</v>
      </c>
      <c r="D497" s="74">
        <f>D498</f>
        <v>0</v>
      </c>
      <c r="E497" s="74">
        <f>E498</f>
        <v>0</v>
      </c>
      <c r="F497" s="72"/>
    </row>
    <row r="498" spans="1:6" ht="37.5" hidden="1" outlineLevel="1" x14ac:dyDescent="0.3">
      <c r="A498" s="12" t="s">
        <v>433</v>
      </c>
      <c r="B498" s="29" t="s">
        <v>664</v>
      </c>
      <c r="C498" s="10" t="s">
        <v>60</v>
      </c>
      <c r="D498" s="74">
        <f>'В-26,27'!G738</f>
        <v>0</v>
      </c>
      <c r="E498" s="74">
        <f>'В-26,27'!H738</f>
        <v>0</v>
      </c>
      <c r="F498" s="72"/>
    </row>
    <row r="499" spans="1:6" ht="75" hidden="1" outlineLevel="1" x14ac:dyDescent="0.3">
      <c r="A499" s="12" t="s">
        <v>585</v>
      </c>
      <c r="B499" s="29" t="s">
        <v>663</v>
      </c>
      <c r="C499" s="10" t="s">
        <v>51</v>
      </c>
      <c r="D499" s="74">
        <f>D500</f>
        <v>0</v>
      </c>
      <c r="E499" s="74">
        <f>E500</f>
        <v>0</v>
      </c>
      <c r="F499" s="72"/>
    </row>
    <row r="500" spans="1:6" ht="37.5" hidden="1" outlineLevel="1" x14ac:dyDescent="0.3">
      <c r="A500" s="12" t="s">
        <v>433</v>
      </c>
      <c r="B500" s="29" t="s">
        <v>663</v>
      </c>
      <c r="C500" s="10" t="s">
        <v>60</v>
      </c>
      <c r="D500" s="74">
        <f>'В-26,27'!G740</f>
        <v>0</v>
      </c>
      <c r="E500" s="74">
        <f>'В-26,27'!H740</f>
        <v>0</v>
      </c>
      <c r="F500" s="72"/>
    </row>
    <row r="501" spans="1:6" ht="75" hidden="1" outlineLevel="1" x14ac:dyDescent="0.3">
      <c r="A501" s="12" t="s">
        <v>564</v>
      </c>
      <c r="B501" s="10" t="s">
        <v>561</v>
      </c>
      <c r="C501" s="10" t="s">
        <v>51</v>
      </c>
      <c r="D501" s="74">
        <f>D502</f>
        <v>0</v>
      </c>
      <c r="E501" s="74">
        <f>E502</f>
        <v>0</v>
      </c>
      <c r="F501" s="72"/>
    </row>
    <row r="502" spans="1:6" ht="37.5" hidden="1" outlineLevel="1" x14ac:dyDescent="0.3">
      <c r="A502" s="12" t="s">
        <v>433</v>
      </c>
      <c r="B502" s="10" t="s">
        <v>561</v>
      </c>
      <c r="C502" s="10" t="s">
        <v>60</v>
      </c>
      <c r="D502" s="74">
        <f>'В-26,27'!G424</f>
        <v>0</v>
      </c>
      <c r="E502" s="74">
        <f>'В-26,27'!H424</f>
        <v>0</v>
      </c>
      <c r="F502" s="72"/>
    </row>
    <row r="503" spans="1:6" ht="93.75" hidden="1" outlineLevel="1" x14ac:dyDescent="0.3">
      <c r="A503" s="12" t="s">
        <v>598</v>
      </c>
      <c r="B503" s="29" t="s">
        <v>662</v>
      </c>
      <c r="C503" s="10" t="s">
        <v>51</v>
      </c>
      <c r="D503" s="74">
        <f>D504</f>
        <v>0</v>
      </c>
      <c r="E503" s="74">
        <f>E504</f>
        <v>0</v>
      </c>
      <c r="F503" s="72"/>
    </row>
    <row r="504" spans="1:6" ht="37.5" hidden="1" outlineLevel="1" x14ac:dyDescent="0.3">
      <c r="A504" s="12" t="s">
        <v>433</v>
      </c>
      <c r="B504" s="29" t="s">
        <v>662</v>
      </c>
      <c r="C504" s="10" t="s">
        <v>60</v>
      </c>
      <c r="D504" s="74">
        <f>'В-26,27'!G893</f>
        <v>0</v>
      </c>
      <c r="E504" s="74">
        <f>'В-26,27'!H893</f>
        <v>0</v>
      </c>
      <c r="F504" s="72"/>
    </row>
    <row r="505" spans="1:6" ht="56.25" hidden="1" outlineLevel="1" x14ac:dyDescent="0.3">
      <c r="A505" s="12" t="s">
        <v>586</v>
      </c>
      <c r="B505" s="29" t="s">
        <v>661</v>
      </c>
      <c r="C505" s="10" t="s">
        <v>51</v>
      </c>
      <c r="D505" s="74">
        <f>D506</f>
        <v>0</v>
      </c>
      <c r="E505" s="74">
        <f>E506</f>
        <v>0</v>
      </c>
      <c r="F505" s="72"/>
    </row>
    <row r="506" spans="1:6" ht="37.5" hidden="1" outlineLevel="1" x14ac:dyDescent="0.3">
      <c r="A506" s="12" t="s">
        <v>433</v>
      </c>
      <c r="B506" s="29" t="s">
        <v>661</v>
      </c>
      <c r="C506" s="10" t="s">
        <v>60</v>
      </c>
      <c r="D506" s="74">
        <f>'В-26,27'!G742</f>
        <v>0</v>
      </c>
      <c r="E506" s="74">
        <f>'В-26,27'!H742</f>
        <v>0</v>
      </c>
      <c r="F506" s="72"/>
    </row>
    <row r="507" spans="1:6" ht="56.25" hidden="1" outlineLevel="1" x14ac:dyDescent="0.3">
      <c r="A507" s="12" t="s">
        <v>587</v>
      </c>
      <c r="B507" s="29" t="s">
        <v>660</v>
      </c>
      <c r="C507" s="10" t="s">
        <v>51</v>
      </c>
      <c r="D507" s="74">
        <f>D508</f>
        <v>0</v>
      </c>
      <c r="E507" s="74">
        <f>E508</f>
        <v>0</v>
      </c>
      <c r="F507" s="72"/>
    </row>
    <row r="508" spans="1:6" ht="37.5" hidden="1" outlineLevel="1" x14ac:dyDescent="0.3">
      <c r="A508" s="12" t="s">
        <v>433</v>
      </c>
      <c r="B508" s="29" t="s">
        <v>660</v>
      </c>
      <c r="C508" s="10" t="s">
        <v>60</v>
      </c>
      <c r="D508" s="74">
        <f>'В-26,27'!G744</f>
        <v>0</v>
      </c>
      <c r="E508" s="74">
        <f>'В-26,27'!H744</f>
        <v>0</v>
      </c>
      <c r="F508" s="72"/>
    </row>
    <row r="509" spans="1:6" ht="56.25" hidden="1" outlineLevel="1" x14ac:dyDescent="0.3">
      <c r="A509" s="12" t="s">
        <v>599</v>
      </c>
      <c r="B509" s="29" t="s">
        <v>659</v>
      </c>
      <c r="C509" s="10" t="s">
        <v>51</v>
      </c>
      <c r="D509" s="74">
        <f>D510</f>
        <v>0</v>
      </c>
      <c r="E509" s="74">
        <f>E510</f>
        <v>0</v>
      </c>
      <c r="F509" s="72"/>
    </row>
    <row r="510" spans="1:6" ht="37.5" hidden="1" outlineLevel="1" x14ac:dyDescent="0.3">
      <c r="A510" s="12" t="s">
        <v>433</v>
      </c>
      <c r="B510" s="29" t="s">
        <v>659</v>
      </c>
      <c r="C510" s="10" t="s">
        <v>60</v>
      </c>
      <c r="D510" s="74">
        <f>'В-26,27'!G895</f>
        <v>0</v>
      </c>
      <c r="E510" s="74">
        <f>'В-26,27'!H895</f>
        <v>0</v>
      </c>
      <c r="F510" s="72"/>
    </row>
    <row r="511" spans="1:6" ht="75" hidden="1" outlineLevel="1" x14ac:dyDescent="0.3">
      <c r="A511" s="12" t="s">
        <v>588</v>
      </c>
      <c r="B511" s="29" t="s">
        <v>658</v>
      </c>
      <c r="C511" s="10" t="s">
        <v>51</v>
      </c>
      <c r="D511" s="74">
        <f>D512</f>
        <v>0</v>
      </c>
      <c r="E511" s="74">
        <f>E512</f>
        <v>0</v>
      </c>
      <c r="F511" s="72"/>
    </row>
    <row r="512" spans="1:6" ht="37.5" hidden="1" outlineLevel="1" x14ac:dyDescent="0.3">
      <c r="A512" s="12" t="s">
        <v>433</v>
      </c>
      <c r="B512" s="29" t="s">
        <v>658</v>
      </c>
      <c r="C512" s="10" t="s">
        <v>60</v>
      </c>
      <c r="D512" s="74">
        <f>'В-26,27'!G746</f>
        <v>0</v>
      </c>
      <c r="E512" s="74">
        <f>'В-26,27'!H746</f>
        <v>0</v>
      </c>
      <c r="F512" s="72"/>
    </row>
    <row r="513" spans="1:6" ht="93.75" hidden="1" outlineLevel="1" x14ac:dyDescent="0.3">
      <c r="A513" s="12" t="s">
        <v>613</v>
      </c>
      <c r="B513" s="11" t="s">
        <v>609</v>
      </c>
      <c r="C513" s="10" t="s">
        <v>51</v>
      </c>
      <c r="D513" s="74">
        <f>D514</f>
        <v>0</v>
      </c>
      <c r="E513" s="74">
        <f>E514</f>
        <v>0</v>
      </c>
      <c r="F513" s="72"/>
    </row>
    <row r="514" spans="1:6" ht="37.5" hidden="1" outlineLevel="1" x14ac:dyDescent="0.3">
      <c r="A514" s="12" t="s">
        <v>267</v>
      </c>
      <c r="B514" s="11" t="s">
        <v>609</v>
      </c>
      <c r="C514" s="1">
        <v>600</v>
      </c>
      <c r="D514" s="74">
        <f>'В-26,27'!G1234</f>
        <v>0</v>
      </c>
      <c r="E514" s="74">
        <f>'В-26,27'!H1234</f>
        <v>0</v>
      </c>
      <c r="F514" s="72"/>
    </row>
    <row r="515" spans="1:6" ht="93.75" hidden="1" outlineLevel="1" x14ac:dyDescent="0.3">
      <c r="A515" s="12" t="s">
        <v>558</v>
      </c>
      <c r="B515" s="10" t="s">
        <v>657</v>
      </c>
      <c r="C515" s="10" t="s">
        <v>51</v>
      </c>
      <c r="D515" s="74">
        <f>D516</f>
        <v>0</v>
      </c>
      <c r="E515" s="74">
        <f>E516</f>
        <v>0</v>
      </c>
      <c r="F515" s="72"/>
    </row>
    <row r="516" spans="1:6" ht="37.5" hidden="1" outlineLevel="1" x14ac:dyDescent="0.3">
      <c r="A516" s="12" t="s">
        <v>433</v>
      </c>
      <c r="B516" s="10" t="s">
        <v>657</v>
      </c>
      <c r="C516" s="10" t="s">
        <v>60</v>
      </c>
      <c r="D516" s="74">
        <f>'В-26,27'!G194</f>
        <v>0</v>
      </c>
      <c r="E516" s="74">
        <f>'В-26,27'!H194</f>
        <v>0</v>
      </c>
      <c r="F516" s="72"/>
    </row>
    <row r="517" spans="1:6" ht="93.75" hidden="1" outlineLevel="1" x14ac:dyDescent="0.3">
      <c r="A517" s="12" t="s">
        <v>559</v>
      </c>
      <c r="B517" s="10" t="s">
        <v>656</v>
      </c>
      <c r="C517" s="10" t="s">
        <v>51</v>
      </c>
      <c r="D517" s="74">
        <f>D518</f>
        <v>0</v>
      </c>
      <c r="E517" s="74">
        <f>E518</f>
        <v>0</v>
      </c>
      <c r="F517" s="72"/>
    </row>
    <row r="518" spans="1:6" ht="37.5" hidden="1" outlineLevel="1" x14ac:dyDescent="0.3">
      <c r="A518" s="12" t="s">
        <v>433</v>
      </c>
      <c r="B518" s="10" t="s">
        <v>656</v>
      </c>
      <c r="C518" s="10" t="s">
        <v>60</v>
      </c>
      <c r="D518" s="74">
        <f>'В-26,27'!G195</f>
        <v>0</v>
      </c>
      <c r="E518" s="74">
        <f>'В-26,27'!H195</f>
        <v>0</v>
      </c>
      <c r="F518" s="72"/>
    </row>
    <row r="519" spans="1:6" ht="56.25" hidden="1" x14ac:dyDescent="0.3">
      <c r="A519" s="4" t="s">
        <v>252</v>
      </c>
      <c r="B519" s="11" t="s">
        <v>257</v>
      </c>
      <c r="C519" s="10" t="s">
        <v>51</v>
      </c>
      <c r="D519" s="74">
        <f>D521+D523+D525+D527+D529+D531+D533+D535+D539+D537+D541+D543+D545+D549+D551+D553+D555+D547</f>
        <v>0</v>
      </c>
      <c r="E519" s="74">
        <f>E521+E523+E525+E527+E529+E531+E533+E535+E539+E537+E541+E543+E545+E549+E551+E553+E555+E547</f>
        <v>0</v>
      </c>
      <c r="F519" s="72"/>
    </row>
    <row r="520" spans="1:6" ht="63" hidden="1" customHeight="1" x14ac:dyDescent="0.3">
      <c r="A520" s="12" t="s">
        <v>256</v>
      </c>
      <c r="B520" s="10" t="s">
        <v>258</v>
      </c>
      <c r="C520" s="10" t="s">
        <v>51</v>
      </c>
      <c r="D520" s="74">
        <f>D524+D526+D528+D530+D532+D534+D536+D540+D538+D542+D544+D546+D550+D552+D554+D556+D548</f>
        <v>0</v>
      </c>
      <c r="E520" s="74">
        <f>E524+E526+E528+E530+E532+E534+E536+E540+E538+E542+E544+E546+E550+E552+E554+E556+E548</f>
        <v>0</v>
      </c>
      <c r="F520" s="72"/>
    </row>
    <row r="521" spans="1:6" ht="135.75" hidden="1" customHeight="1" x14ac:dyDescent="0.3">
      <c r="A521" s="12" t="s">
        <v>600</v>
      </c>
      <c r="B521" s="11" t="s">
        <v>655</v>
      </c>
      <c r="C521" s="10" t="s">
        <v>51</v>
      </c>
      <c r="D521" s="74">
        <f>D522</f>
        <v>0</v>
      </c>
      <c r="E521" s="74">
        <f>E522</f>
        <v>0</v>
      </c>
      <c r="F521" s="72"/>
    </row>
    <row r="522" spans="1:6" ht="40.5" hidden="1" customHeight="1" x14ac:dyDescent="0.3">
      <c r="A522" s="12" t="s">
        <v>433</v>
      </c>
      <c r="B522" s="11" t="s">
        <v>655</v>
      </c>
      <c r="C522" s="10" t="s">
        <v>60</v>
      </c>
      <c r="D522" s="95">
        <f>'В-26,27'!G1100</f>
        <v>0</v>
      </c>
      <c r="E522" s="95">
        <f>'В-26,27'!H1100</f>
        <v>0</v>
      </c>
      <c r="F522" s="72"/>
    </row>
    <row r="523" spans="1:6" ht="90" hidden="1" customHeight="1" x14ac:dyDescent="0.3">
      <c r="A523" s="12" t="s">
        <v>594</v>
      </c>
      <c r="B523" s="29" t="s">
        <v>654</v>
      </c>
      <c r="C523" s="10" t="s">
        <v>51</v>
      </c>
      <c r="D523" s="74">
        <f>D524</f>
        <v>0</v>
      </c>
      <c r="E523" s="74">
        <f>E524</f>
        <v>0</v>
      </c>
      <c r="F523" s="72"/>
    </row>
    <row r="524" spans="1:6" ht="42.75" hidden="1" customHeight="1" x14ac:dyDescent="0.3">
      <c r="A524" s="12" t="s">
        <v>433</v>
      </c>
      <c r="B524" s="29" t="s">
        <v>654</v>
      </c>
      <c r="C524" s="29" t="s">
        <v>60</v>
      </c>
      <c r="D524" s="74">
        <f>'В-26,27'!G874</f>
        <v>0</v>
      </c>
      <c r="E524" s="74">
        <f>'В-26,27'!H874</f>
        <v>0</v>
      </c>
      <c r="F524" s="72"/>
    </row>
    <row r="525" spans="1:6" ht="82.5" hidden="1" customHeight="1" x14ac:dyDescent="0.3">
      <c r="A525" s="12" t="s">
        <v>575</v>
      </c>
      <c r="B525" s="29" t="s">
        <v>653</v>
      </c>
      <c r="C525" s="10" t="s">
        <v>51</v>
      </c>
      <c r="D525" s="74">
        <f>D526</f>
        <v>0</v>
      </c>
      <c r="E525" s="74">
        <f>E526</f>
        <v>0</v>
      </c>
      <c r="F525" s="72"/>
    </row>
    <row r="526" spans="1:6" ht="41.25" hidden="1" customHeight="1" x14ac:dyDescent="0.3">
      <c r="A526" s="12" t="s">
        <v>433</v>
      </c>
      <c r="B526" s="29" t="s">
        <v>653</v>
      </c>
      <c r="C526" s="29" t="s">
        <v>60</v>
      </c>
      <c r="D526" s="74">
        <f>'В-26,27'!G705</f>
        <v>0</v>
      </c>
      <c r="E526" s="74">
        <f>'В-26,27'!H705</f>
        <v>0</v>
      </c>
      <c r="F526" s="72"/>
    </row>
    <row r="527" spans="1:6" ht="99" hidden="1" customHeight="1" x14ac:dyDescent="0.3">
      <c r="A527" s="12" t="s">
        <v>576</v>
      </c>
      <c r="B527" s="29" t="s">
        <v>652</v>
      </c>
      <c r="C527" s="10" t="s">
        <v>51</v>
      </c>
      <c r="D527" s="74">
        <f>D528</f>
        <v>0</v>
      </c>
      <c r="E527" s="74">
        <f>E528</f>
        <v>0</v>
      </c>
      <c r="F527" s="72"/>
    </row>
    <row r="528" spans="1:6" ht="43.5" hidden="1" customHeight="1" x14ac:dyDescent="0.3">
      <c r="A528" s="12" t="s">
        <v>433</v>
      </c>
      <c r="B528" s="29" t="s">
        <v>652</v>
      </c>
      <c r="C528" s="29" t="s">
        <v>60</v>
      </c>
      <c r="D528" s="74">
        <f>'В-26,27'!G707</f>
        <v>0</v>
      </c>
      <c r="E528" s="74">
        <f>'В-26,27'!H707</f>
        <v>0</v>
      </c>
      <c r="F528" s="72"/>
    </row>
    <row r="529" spans="1:6" ht="135.75" hidden="1" customHeight="1" x14ac:dyDescent="0.3">
      <c r="A529" s="12" t="s">
        <v>601</v>
      </c>
      <c r="B529" s="11" t="s">
        <v>651</v>
      </c>
      <c r="C529" s="10" t="s">
        <v>51</v>
      </c>
      <c r="D529" s="74">
        <f>D530</f>
        <v>0</v>
      </c>
      <c r="E529" s="74">
        <f>E530</f>
        <v>0</v>
      </c>
      <c r="F529" s="72"/>
    </row>
    <row r="530" spans="1:6" ht="51" hidden="1" customHeight="1" x14ac:dyDescent="0.3">
      <c r="A530" s="12" t="s">
        <v>267</v>
      </c>
      <c r="B530" s="11" t="s">
        <v>651</v>
      </c>
      <c r="C530" s="11" t="s">
        <v>264</v>
      </c>
      <c r="D530" s="74">
        <f>'В-26,27'!G1102</f>
        <v>0</v>
      </c>
      <c r="E530" s="74">
        <f>'В-26,27'!H1102</f>
        <v>0</v>
      </c>
      <c r="F530" s="72"/>
    </row>
    <row r="531" spans="1:6" ht="128.25" hidden="1" customHeight="1" x14ac:dyDescent="0.3">
      <c r="A531" s="12" t="s">
        <v>610</v>
      </c>
      <c r="B531" s="11" t="s">
        <v>604</v>
      </c>
      <c r="C531" s="10" t="s">
        <v>51</v>
      </c>
      <c r="D531" s="74">
        <f>D532</f>
        <v>0</v>
      </c>
      <c r="E531" s="74">
        <f>E532</f>
        <v>0</v>
      </c>
      <c r="F531" s="72"/>
    </row>
    <row r="532" spans="1:6" ht="51" hidden="1" customHeight="1" x14ac:dyDescent="0.3">
      <c r="A532" s="12" t="s">
        <v>267</v>
      </c>
      <c r="B532" s="11" t="s">
        <v>604</v>
      </c>
      <c r="C532" s="1">
        <v>600</v>
      </c>
      <c r="D532" s="74">
        <f>'В-26,27'!G1223</f>
        <v>0</v>
      </c>
      <c r="E532" s="74">
        <f>'В-26,27'!H1223</f>
        <v>0</v>
      </c>
      <c r="F532" s="72"/>
    </row>
    <row r="533" spans="1:6" ht="86.25" hidden="1" customHeight="1" x14ac:dyDescent="0.3">
      <c r="A533" s="12" t="s">
        <v>595</v>
      </c>
      <c r="B533" s="29" t="s">
        <v>650</v>
      </c>
      <c r="C533" s="29" t="s">
        <v>51</v>
      </c>
      <c r="D533" s="74">
        <f>D534</f>
        <v>0</v>
      </c>
      <c r="E533" s="74">
        <f>E534</f>
        <v>0</v>
      </c>
      <c r="F533" s="72"/>
    </row>
    <row r="534" spans="1:6" ht="45" hidden="1" customHeight="1" x14ac:dyDescent="0.3">
      <c r="A534" s="12" t="s">
        <v>433</v>
      </c>
      <c r="B534" s="29" t="s">
        <v>650</v>
      </c>
      <c r="C534" s="29" t="s">
        <v>60</v>
      </c>
      <c r="D534" s="74">
        <f>'В-26,27'!G876</f>
        <v>0</v>
      </c>
      <c r="E534" s="74">
        <f>'В-26,27'!H876</f>
        <v>0</v>
      </c>
      <c r="F534" s="72"/>
    </row>
    <row r="535" spans="1:6" ht="96" hidden="1" customHeight="1" x14ac:dyDescent="0.3">
      <c r="A535" s="12" t="s">
        <v>577</v>
      </c>
      <c r="B535" s="29" t="s">
        <v>649</v>
      </c>
      <c r="C535" s="29" t="s">
        <v>51</v>
      </c>
      <c r="D535" s="74">
        <f>D536</f>
        <v>0</v>
      </c>
      <c r="E535" s="74">
        <f>E536</f>
        <v>0</v>
      </c>
      <c r="F535" s="72"/>
    </row>
    <row r="536" spans="1:6" ht="45" hidden="1" customHeight="1" x14ac:dyDescent="0.3">
      <c r="A536" s="12" t="s">
        <v>433</v>
      </c>
      <c r="B536" s="29" t="s">
        <v>649</v>
      </c>
      <c r="C536" s="29" t="s">
        <v>60</v>
      </c>
      <c r="D536" s="74">
        <f>'В-26,27'!G709</f>
        <v>0</v>
      </c>
      <c r="E536" s="74">
        <f>'В-26,27'!H709</f>
        <v>0</v>
      </c>
      <c r="F536" s="72"/>
    </row>
    <row r="537" spans="1:6" ht="93.75" hidden="1" customHeight="1" x14ac:dyDescent="0.3">
      <c r="A537" s="12" t="s">
        <v>578</v>
      </c>
      <c r="B537" s="29" t="s">
        <v>648</v>
      </c>
      <c r="C537" s="29" t="s">
        <v>51</v>
      </c>
      <c r="D537" s="74">
        <f>D538</f>
        <v>0</v>
      </c>
      <c r="E537" s="74">
        <f>E538</f>
        <v>0</v>
      </c>
      <c r="F537" s="72"/>
    </row>
    <row r="538" spans="1:6" ht="27" hidden="1" customHeight="1" x14ac:dyDescent="0.3">
      <c r="A538" s="12" t="s">
        <v>59</v>
      </c>
      <c r="B538" s="29" t="s">
        <v>648</v>
      </c>
      <c r="C538" s="29" t="s">
        <v>60</v>
      </c>
      <c r="D538" s="74">
        <f>'В-26,27'!G711</f>
        <v>0</v>
      </c>
      <c r="E538" s="74">
        <f>'В-26,27'!H711</f>
        <v>0</v>
      </c>
      <c r="F538" s="72"/>
    </row>
    <row r="539" spans="1:6" ht="94.5" hidden="1" customHeight="1" x14ac:dyDescent="0.3">
      <c r="A539" s="12" t="s">
        <v>563</v>
      </c>
      <c r="B539" s="10" t="s">
        <v>562</v>
      </c>
      <c r="C539" s="10" t="s">
        <v>51</v>
      </c>
      <c r="D539" s="74">
        <f>D540</f>
        <v>0</v>
      </c>
      <c r="E539" s="74">
        <f>E540</f>
        <v>0</v>
      </c>
      <c r="F539" s="72"/>
    </row>
    <row r="540" spans="1:6" ht="42.75" hidden="1" customHeight="1" x14ac:dyDescent="0.3">
      <c r="A540" s="12" t="s">
        <v>433</v>
      </c>
      <c r="B540" s="10" t="s">
        <v>562</v>
      </c>
      <c r="C540" s="10" t="s">
        <v>60</v>
      </c>
      <c r="D540" s="74">
        <f>'В-26,27'!G421</f>
        <v>0</v>
      </c>
      <c r="E540" s="74">
        <f>'В-26,27'!H421</f>
        <v>0</v>
      </c>
      <c r="F540" s="72"/>
    </row>
    <row r="541" spans="1:6" ht="115.5" hidden="1" customHeight="1" x14ac:dyDescent="0.3">
      <c r="A541" s="12" t="s">
        <v>592</v>
      </c>
      <c r="B541" s="10" t="s">
        <v>647</v>
      </c>
      <c r="C541" s="10" t="s">
        <v>51</v>
      </c>
      <c r="D541" s="74">
        <f>D542</f>
        <v>0</v>
      </c>
      <c r="E541" s="74">
        <f>E542</f>
        <v>0</v>
      </c>
      <c r="F541" s="72"/>
    </row>
    <row r="542" spans="1:6" ht="42.75" hidden="1" customHeight="1" x14ac:dyDescent="0.3">
      <c r="A542" s="12" t="s">
        <v>433</v>
      </c>
      <c r="B542" s="10" t="s">
        <v>647</v>
      </c>
      <c r="C542" s="10" t="s">
        <v>60</v>
      </c>
      <c r="D542" s="74">
        <f>'В-26,27'!G870</f>
        <v>0</v>
      </c>
      <c r="E542" s="74">
        <f>'В-26,27'!H870</f>
        <v>0</v>
      </c>
      <c r="F542" s="72"/>
    </row>
    <row r="543" spans="1:6" ht="93" hidden="1" customHeight="1" x14ac:dyDescent="0.3">
      <c r="A543" s="12" t="s">
        <v>579</v>
      </c>
      <c r="B543" s="29" t="s">
        <v>646</v>
      </c>
      <c r="C543" s="29" t="s">
        <v>51</v>
      </c>
      <c r="D543" s="74">
        <f>D544</f>
        <v>0</v>
      </c>
      <c r="E543" s="74">
        <f>E544</f>
        <v>0</v>
      </c>
      <c r="F543" s="72"/>
    </row>
    <row r="544" spans="1:6" ht="42.75" hidden="1" customHeight="1" x14ac:dyDescent="0.3">
      <c r="A544" s="12" t="s">
        <v>433</v>
      </c>
      <c r="B544" s="29" t="s">
        <v>646</v>
      </c>
      <c r="C544" s="29" t="s">
        <v>60</v>
      </c>
      <c r="D544" s="74">
        <f>'В-26,27'!G713</f>
        <v>0</v>
      </c>
      <c r="E544" s="74">
        <f>'В-26,27'!H713</f>
        <v>0</v>
      </c>
      <c r="F544" s="72"/>
    </row>
    <row r="545" spans="1:6" ht="88.5" hidden="1" customHeight="1" x14ac:dyDescent="0.3">
      <c r="A545" s="12" t="s">
        <v>580</v>
      </c>
      <c r="B545" s="29" t="s">
        <v>645</v>
      </c>
      <c r="C545" s="29" t="s">
        <v>51</v>
      </c>
      <c r="D545" s="74">
        <f>D546</f>
        <v>0</v>
      </c>
      <c r="E545" s="74">
        <f>E546</f>
        <v>0</v>
      </c>
      <c r="F545" s="72"/>
    </row>
    <row r="546" spans="1:6" ht="42.75" hidden="1" customHeight="1" x14ac:dyDescent="0.3">
      <c r="A546" s="12" t="s">
        <v>433</v>
      </c>
      <c r="B546" s="29" t="s">
        <v>645</v>
      </c>
      <c r="C546" s="29" t="s">
        <v>60</v>
      </c>
      <c r="D546" s="74">
        <f>'В-26,27'!G715</f>
        <v>0</v>
      </c>
      <c r="E546" s="74">
        <f>'В-26,27'!H715</f>
        <v>0</v>
      </c>
      <c r="F546" s="72"/>
    </row>
    <row r="547" spans="1:6" ht="89.25" hidden="1" customHeight="1" x14ac:dyDescent="0.3">
      <c r="A547" s="12" t="s">
        <v>593</v>
      </c>
      <c r="B547" s="10" t="s">
        <v>644</v>
      </c>
      <c r="C547" s="29" t="s">
        <v>51</v>
      </c>
      <c r="D547" s="74">
        <f>D548</f>
        <v>0</v>
      </c>
      <c r="E547" s="74">
        <f>E548</f>
        <v>0</v>
      </c>
      <c r="F547" s="72"/>
    </row>
    <row r="548" spans="1:6" ht="42.75" hidden="1" customHeight="1" x14ac:dyDescent="0.3">
      <c r="A548" s="12" t="s">
        <v>433</v>
      </c>
      <c r="B548" s="10" t="s">
        <v>644</v>
      </c>
      <c r="C548" s="29" t="s">
        <v>60</v>
      </c>
      <c r="D548" s="74">
        <f>'В-26,27'!G872</f>
        <v>0</v>
      </c>
      <c r="E548" s="74">
        <f>'В-26,27'!H872</f>
        <v>0</v>
      </c>
      <c r="F548" s="72"/>
    </row>
    <row r="549" spans="1:6" ht="96.75" hidden="1" customHeight="1" x14ac:dyDescent="0.3">
      <c r="A549" s="12" t="s">
        <v>581</v>
      </c>
      <c r="B549" s="29" t="s">
        <v>552</v>
      </c>
      <c r="C549" s="29" t="s">
        <v>51</v>
      </c>
      <c r="D549" s="74">
        <f>D550</f>
        <v>0</v>
      </c>
      <c r="E549" s="74">
        <f>E550</f>
        <v>0</v>
      </c>
      <c r="F549" s="72"/>
    </row>
    <row r="550" spans="1:6" ht="42.75" hidden="1" customHeight="1" x14ac:dyDescent="0.3">
      <c r="A550" s="12" t="s">
        <v>433</v>
      </c>
      <c r="B550" s="29" t="s">
        <v>643</v>
      </c>
      <c r="C550" s="29" t="s">
        <v>60</v>
      </c>
      <c r="D550" s="74">
        <f>'В-26,27'!G717</f>
        <v>0</v>
      </c>
      <c r="E550" s="74">
        <f>'В-26,27'!H717</f>
        <v>0</v>
      </c>
      <c r="F550" s="72"/>
    </row>
    <row r="551" spans="1:6" ht="117.75" hidden="1" customHeight="1" x14ac:dyDescent="0.3">
      <c r="A551" s="12" t="s">
        <v>611</v>
      </c>
      <c r="B551" s="11" t="s">
        <v>605</v>
      </c>
      <c r="C551" s="10" t="s">
        <v>51</v>
      </c>
      <c r="D551" s="74">
        <f>D552</f>
        <v>0</v>
      </c>
      <c r="E551" s="74">
        <f>E552</f>
        <v>0</v>
      </c>
      <c r="F551" s="72"/>
    </row>
    <row r="552" spans="1:6" ht="42.75" hidden="1" customHeight="1" x14ac:dyDescent="0.3">
      <c r="A552" s="12" t="s">
        <v>267</v>
      </c>
      <c r="B552" s="11" t="s">
        <v>605</v>
      </c>
      <c r="C552" s="1">
        <v>600</v>
      </c>
      <c r="D552" s="74">
        <f>'В-26,27'!G1225</f>
        <v>0</v>
      </c>
      <c r="E552" s="74">
        <f>'В-26,27'!H1225</f>
        <v>0</v>
      </c>
      <c r="F552" s="72"/>
    </row>
    <row r="553" spans="1:6" ht="130.5" hidden="1" customHeight="1" x14ac:dyDescent="0.3">
      <c r="A553" s="12" t="s">
        <v>556</v>
      </c>
      <c r="B553" s="10" t="s">
        <v>560</v>
      </c>
      <c r="C553" s="10" t="s">
        <v>51</v>
      </c>
      <c r="D553" s="74">
        <f>D554</f>
        <v>0</v>
      </c>
      <c r="E553" s="74">
        <f>E554</f>
        <v>0</v>
      </c>
      <c r="F553" s="72"/>
    </row>
    <row r="554" spans="1:6" ht="37.5" hidden="1" x14ac:dyDescent="0.3">
      <c r="A554" s="12" t="s">
        <v>433</v>
      </c>
      <c r="B554" s="10" t="s">
        <v>560</v>
      </c>
      <c r="C554" s="10" t="s">
        <v>60</v>
      </c>
      <c r="D554" s="74">
        <f>'В-26,27'!G188</f>
        <v>0</v>
      </c>
      <c r="E554" s="74">
        <f>'В-26,27'!H188</f>
        <v>0</v>
      </c>
      <c r="F554" s="72"/>
    </row>
    <row r="555" spans="1:6" ht="75" hidden="1" x14ac:dyDescent="0.3">
      <c r="A555" s="12" t="s">
        <v>557</v>
      </c>
      <c r="B555" s="10" t="s">
        <v>549</v>
      </c>
      <c r="C555" s="10" t="s">
        <v>51</v>
      </c>
      <c r="D555" s="74">
        <f>D556</f>
        <v>0</v>
      </c>
      <c r="E555" s="74">
        <f>E556</f>
        <v>0</v>
      </c>
      <c r="F555" s="72"/>
    </row>
    <row r="556" spans="1:6" ht="37.5" hidden="1" x14ac:dyDescent="0.3">
      <c r="A556" s="12" t="s">
        <v>433</v>
      </c>
      <c r="B556" s="10" t="s">
        <v>642</v>
      </c>
      <c r="C556" s="10" t="s">
        <v>60</v>
      </c>
      <c r="D556" s="74">
        <f>'В-26,27'!G190</f>
        <v>0</v>
      </c>
      <c r="E556" s="74">
        <f>'В-26,27'!H190</f>
        <v>0</v>
      </c>
      <c r="F556" s="72"/>
    </row>
    <row r="557" spans="1:6" ht="56.25" hidden="1" x14ac:dyDescent="0.3">
      <c r="A557" s="4" t="s">
        <v>256</v>
      </c>
      <c r="B557" s="10" t="s">
        <v>259</v>
      </c>
      <c r="C557" s="10" t="s">
        <v>51</v>
      </c>
      <c r="D557" s="74">
        <f>D558+D561+D563+D567+D565+D569+D571+D573+D575+D577+D579+D581+D583+D585+D587+D589+D591+D593+D595</f>
        <v>0</v>
      </c>
      <c r="E557" s="74">
        <f>E558+E561+E563+E567+E565+E569+E571+E573+E575+E577+E579+E581+E583+E585+E587+E589+E591+E593+E595</f>
        <v>-233.94900000000001</v>
      </c>
      <c r="F557" s="72"/>
    </row>
    <row r="558" spans="1:6" ht="112.5" hidden="1" x14ac:dyDescent="0.3">
      <c r="A558" s="12" t="s">
        <v>600</v>
      </c>
      <c r="B558" s="11" t="s">
        <v>641</v>
      </c>
      <c r="C558" s="11" t="s">
        <v>51</v>
      </c>
      <c r="D558" s="74">
        <f>D560+D559</f>
        <v>0</v>
      </c>
      <c r="E558" s="74">
        <f>E560+E559</f>
        <v>-233.94900000000001</v>
      </c>
      <c r="F558" s="72"/>
    </row>
    <row r="559" spans="1:6" ht="37.5" hidden="1" x14ac:dyDescent="0.3">
      <c r="A559" s="12" t="s">
        <v>433</v>
      </c>
      <c r="B559" s="11" t="s">
        <v>641</v>
      </c>
      <c r="C559" s="11" t="s">
        <v>60</v>
      </c>
      <c r="D559" s="74">
        <f>'В-26,27'!G1104</f>
        <v>0</v>
      </c>
      <c r="E559" s="74">
        <f>'В-26,27'!H1104</f>
        <v>0</v>
      </c>
      <c r="F559" s="72"/>
    </row>
    <row r="560" spans="1:6" ht="37.5" hidden="1" x14ac:dyDescent="0.3">
      <c r="A560" s="12" t="s">
        <v>267</v>
      </c>
      <c r="B560" s="11" t="s">
        <v>641</v>
      </c>
      <c r="C560" s="11" t="s">
        <v>264</v>
      </c>
      <c r="D560" s="74">
        <f>'В-26,27'!G1105</f>
        <v>0</v>
      </c>
      <c r="E560" s="74">
        <f>'В-26,27'!H1105</f>
        <v>-233.94900000000001</v>
      </c>
      <c r="F560" s="72"/>
    </row>
    <row r="561" spans="1:6" ht="75" hidden="1" x14ac:dyDescent="0.3">
      <c r="A561" s="12" t="s">
        <v>594</v>
      </c>
      <c r="B561" s="29" t="s">
        <v>640</v>
      </c>
      <c r="C561" s="10" t="s">
        <v>51</v>
      </c>
      <c r="D561" s="74">
        <f>D562</f>
        <v>0</v>
      </c>
      <c r="E561" s="74">
        <f>E562</f>
        <v>0</v>
      </c>
      <c r="F561" s="72"/>
    </row>
    <row r="562" spans="1:6" ht="37.5" hidden="1" x14ac:dyDescent="0.3">
      <c r="A562" s="12" t="s">
        <v>433</v>
      </c>
      <c r="B562" s="29" t="s">
        <v>640</v>
      </c>
      <c r="C562" s="10" t="s">
        <v>60</v>
      </c>
      <c r="D562" s="74">
        <f>'В-26,27'!G878</f>
        <v>0</v>
      </c>
      <c r="E562" s="74">
        <f>'В-26,27'!H878</f>
        <v>0</v>
      </c>
      <c r="F562" s="72"/>
    </row>
    <row r="563" spans="1:6" ht="75" hidden="1" x14ac:dyDescent="0.3">
      <c r="A563" s="12" t="s">
        <v>575</v>
      </c>
      <c r="B563" s="29" t="s">
        <v>639</v>
      </c>
      <c r="C563" s="10" t="s">
        <v>51</v>
      </c>
      <c r="D563" s="74">
        <f>D564</f>
        <v>0</v>
      </c>
      <c r="E563" s="74">
        <f>E564</f>
        <v>0</v>
      </c>
      <c r="F563" s="72"/>
    </row>
    <row r="564" spans="1:6" ht="37.5" hidden="1" x14ac:dyDescent="0.3">
      <c r="A564" s="12" t="s">
        <v>433</v>
      </c>
      <c r="B564" s="29" t="s">
        <v>639</v>
      </c>
      <c r="C564" s="10" t="s">
        <v>60</v>
      </c>
      <c r="D564" s="74">
        <f>'В-26,27'!G719</f>
        <v>0</v>
      </c>
      <c r="E564" s="74">
        <f>'В-26,27'!H719</f>
        <v>0</v>
      </c>
      <c r="F564" s="72"/>
    </row>
    <row r="565" spans="1:6" ht="72" hidden="1" customHeight="1" x14ac:dyDescent="0.3">
      <c r="A565" s="4" t="s">
        <v>591</v>
      </c>
      <c r="B565" s="10" t="s">
        <v>259</v>
      </c>
      <c r="C565" s="10" t="s">
        <v>51</v>
      </c>
      <c r="D565" s="74">
        <f>D566</f>
        <v>0</v>
      </c>
      <c r="E565" s="74">
        <f>E566</f>
        <v>0</v>
      </c>
      <c r="F565" s="72"/>
    </row>
    <row r="566" spans="1:6" ht="37.5" hidden="1" x14ac:dyDescent="0.3">
      <c r="A566" s="12" t="s">
        <v>433</v>
      </c>
      <c r="B566" s="10" t="s">
        <v>259</v>
      </c>
      <c r="C566" s="10" t="s">
        <v>60</v>
      </c>
      <c r="D566" s="74">
        <f>'В-26,27'!G867</f>
        <v>0</v>
      </c>
      <c r="E566" s="74">
        <f>'В-26,27'!H867</f>
        <v>0</v>
      </c>
      <c r="F566" s="72"/>
    </row>
    <row r="567" spans="1:6" ht="93.75" hidden="1" x14ac:dyDescent="0.3">
      <c r="A567" s="12" t="s">
        <v>576</v>
      </c>
      <c r="B567" s="29" t="s">
        <v>638</v>
      </c>
      <c r="C567" s="10" t="s">
        <v>51</v>
      </c>
      <c r="D567" s="74">
        <f>D568</f>
        <v>0</v>
      </c>
      <c r="E567" s="74">
        <f>E568</f>
        <v>0</v>
      </c>
      <c r="F567" s="72"/>
    </row>
    <row r="568" spans="1:6" ht="37.5" hidden="1" x14ac:dyDescent="0.3">
      <c r="A568" s="12" t="s">
        <v>433</v>
      </c>
      <c r="B568" s="29" t="s">
        <v>638</v>
      </c>
      <c r="C568" s="10" t="s">
        <v>60</v>
      </c>
      <c r="D568" s="74">
        <f>'В-26,27'!G721</f>
        <v>0</v>
      </c>
      <c r="E568" s="74">
        <f>'В-26,27'!H721</f>
        <v>0</v>
      </c>
      <c r="F568" s="72"/>
    </row>
    <row r="569" spans="1:6" ht="131.25" hidden="1" x14ac:dyDescent="0.3">
      <c r="A569" s="12" t="s">
        <v>601</v>
      </c>
      <c r="B569" s="11" t="s">
        <v>637</v>
      </c>
      <c r="C569" s="11" t="s">
        <v>51</v>
      </c>
      <c r="D569" s="74">
        <f>D570</f>
        <v>0</v>
      </c>
      <c r="E569" s="74">
        <f>E570</f>
        <v>0</v>
      </c>
      <c r="F569" s="72"/>
    </row>
    <row r="570" spans="1:6" ht="37.5" hidden="1" x14ac:dyDescent="0.3">
      <c r="A570" s="12" t="s">
        <v>267</v>
      </c>
      <c r="B570" s="11" t="s">
        <v>637</v>
      </c>
      <c r="C570" s="11" t="s">
        <v>264</v>
      </c>
      <c r="D570" s="74">
        <f>'В-26,27'!G1107</f>
        <v>0</v>
      </c>
      <c r="E570" s="74">
        <f>'В-26,27'!H1107</f>
        <v>0</v>
      </c>
      <c r="F570" s="72"/>
    </row>
    <row r="571" spans="1:6" ht="112.5" hidden="1" x14ac:dyDescent="0.3">
      <c r="A571" s="12" t="s">
        <v>610</v>
      </c>
      <c r="B571" s="11" t="s">
        <v>606</v>
      </c>
      <c r="C571" s="10" t="s">
        <v>51</v>
      </c>
      <c r="D571" s="74">
        <f>D572</f>
        <v>0</v>
      </c>
      <c r="E571" s="74">
        <f>E572</f>
        <v>0</v>
      </c>
      <c r="F571" s="72"/>
    </row>
    <row r="572" spans="1:6" ht="37.5" hidden="1" x14ac:dyDescent="0.3">
      <c r="A572" s="12" t="s">
        <v>267</v>
      </c>
      <c r="B572" s="11" t="s">
        <v>606</v>
      </c>
      <c r="C572" s="1">
        <v>600</v>
      </c>
      <c r="D572" s="74">
        <f>'В-26,27'!G1227</f>
        <v>0</v>
      </c>
      <c r="E572" s="74">
        <f>'В-26,27'!H1227</f>
        <v>0</v>
      </c>
      <c r="F572" s="72"/>
    </row>
    <row r="573" spans="1:6" ht="93.75" hidden="1" x14ac:dyDescent="0.3">
      <c r="A573" s="12" t="s">
        <v>595</v>
      </c>
      <c r="B573" s="29" t="s">
        <v>636</v>
      </c>
      <c r="C573" s="10" t="s">
        <v>51</v>
      </c>
      <c r="D573" s="74">
        <f>D574</f>
        <v>0</v>
      </c>
      <c r="E573" s="74">
        <f>E574</f>
        <v>0</v>
      </c>
      <c r="F573" s="72"/>
    </row>
    <row r="574" spans="1:6" ht="37.5" hidden="1" x14ac:dyDescent="0.3">
      <c r="A574" s="12" t="s">
        <v>433</v>
      </c>
      <c r="B574" s="29" t="s">
        <v>636</v>
      </c>
      <c r="C574" s="29" t="s">
        <v>60</v>
      </c>
      <c r="D574" s="74">
        <f>'В-26,27'!G880</f>
        <v>0</v>
      </c>
      <c r="E574" s="74">
        <f>'В-26,27'!H880</f>
        <v>0</v>
      </c>
      <c r="F574" s="72"/>
    </row>
    <row r="575" spans="1:6" ht="75" hidden="1" x14ac:dyDescent="0.3">
      <c r="A575" s="12" t="s">
        <v>577</v>
      </c>
      <c r="B575" s="29" t="s">
        <v>635</v>
      </c>
      <c r="C575" s="10" t="s">
        <v>51</v>
      </c>
      <c r="D575" s="74">
        <f>D576</f>
        <v>0</v>
      </c>
      <c r="E575" s="74">
        <f>E576</f>
        <v>0</v>
      </c>
      <c r="F575" s="72"/>
    </row>
    <row r="576" spans="1:6" ht="37.5" hidden="1" x14ac:dyDescent="0.3">
      <c r="A576" s="12" t="s">
        <v>433</v>
      </c>
      <c r="B576" s="29" t="s">
        <v>635</v>
      </c>
      <c r="C576" s="10" t="s">
        <v>60</v>
      </c>
      <c r="D576" s="74">
        <f>'В-26,27'!G723</f>
        <v>0</v>
      </c>
      <c r="E576" s="74">
        <f>'В-26,27'!H723</f>
        <v>0</v>
      </c>
      <c r="F576" s="72"/>
    </row>
    <row r="577" spans="1:6" ht="93.75" hidden="1" x14ac:dyDescent="0.3">
      <c r="A577" s="12" t="s">
        <v>578</v>
      </c>
      <c r="B577" s="29" t="s">
        <v>634</v>
      </c>
      <c r="C577" s="10" t="s">
        <v>51</v>
      </c>
      <c r="D577" s="74">
        <f>D578</f>
        <v>0</v>
      </c>
      <c r="E577" s="74">
        <f>E578</f>
        <v>0</v>
      </c>
      <c r="F577" s="72"/>
    </row>
    <row r="578" spans="1:6" ht="37.5" hidden="1" x14ac:dyDescent="0.3">
      <c r="A578" s="12" t="s">
        <v>433</v>
      </c>
      <c r="B578" s="29" t="s">
        <v>634</v>
      </c>
      <c r="C578" s="10" t="s">
        <v>60</v>
      </c>
      <c r="D578" s="74">
        <f>'В-26,27'!G725</f>
        <v>0</v>
      </c>
      <c r="E578" s="74">
        <f>'В-26,27'!H725</f>
        <v>0</v>
      </c>
      <c r="F578" s="72"/>
    </row>
    <row r="579" spans="1:6" ht="93.75" hidden="1" x14ac:dyDescent="0.3">
      <c r="A579" s="12" t="s">
        <v>563</v>
      </c>
      <c r="B579" s="10" t="s">
        <v>633</v>
      </c>
      <c r="C579" s="10" t="s">
        <v>51</v>
      </c>
      <c r="D579" s="74">
        <f>D580</f>
        <v>0</v>
      </c>
      <c r="E579" s="74">
        <f>E580</f>
        <v>0</v>
      </c>
      <c r="F579" s="72"/>
    </row>
    <row r="580" spans="1:6" ht="37.5" hidden="1" x14ac:dyDescent="0.3">
      <c r="A580" s="12" t="s">
        <v>433</v>
      </c>
      <c r="B580" s="10" t="s">
        <v>633</v>
      </c>
      <c r="C580" s="10" t="s">
        <v>60</v>
      </c>
      <c r="D580" s="74">
        <f>'В-26,27'!G426</f>
        <v>0</v>
      </c>
      <c r="E580" s="74">
        <f>'В-26,27'!H426</f>
        <v>0</v>
      </c>
      <c r="F580" s="72"/>
    </row>
    <row r="581" spans="1:6" ht="112.5" hidden="1" x14ac:dyDescent="0.3">
      <c r="A581" s="12" t="s">
        <v>592</v>
      </c>
      <c r="B581" s="29" t="s">
        <v>632</v>
      </c>
      <c r="C581" s="10" t="s">
        <v>51</v>
      </c>
      <c r="D581" s="74">
        <f>D582</f>
        <v>0</v>
      </c>
      <c r="E581" s="74">
        <f>E582</f>
        <v>0</v>
      </c>
      <c r="F581" s="72"/>
    </row>
    <row r="582" spans="1:6" ht="37.5" hidden="1" x14ac:dyDescent="0.3">
      <c r="A582" s="12" t="s">
        <v>433</v>
      </c>
      <c r="B582" s="29" t="s">
        <v>632</v>
      </c>
      <c r="C582" s="10" t="s">
        <v>60</v>
      </c>
      <c r="D582" s="74">
        <f>'В-26,27'!G882</f>
        <v>0</v>
      </c>
      <c r="E582" s="74">
        <f>'В-26,27'!H882</f>
        <v>0</v>
      </c>
      <c r="F582" s="72"/>
    </row>
    <row r="583" spans="1:6" ht="75" hidden="1" x14ac:dyDescent="0.3">
      <c r="A583" s="12" t="s">
        <v>579</v>
      </c>
      <c r="B583" s="29" t="s">
        <v>631</v>
      </c>
      <c r="C583" s="10" t="s">
        <v>51</v>
      </c>
      <c r="D583" s="74">
        <f>D584</f>
        <v>0</v>
      </c>
      <c r="E583" s="74">
        <f>E584</f>
        <v>0</v>
      </c>
      <c r="F583" s="72"/>
    </row>
    <row r="584" spans="1:6" ht="37.5" hidden="1" x14ac:dyDescent="0.3">
      <c r="A584" s="12" t="s">
        <v>433</v>
      </c>
      <c r="B584" s="29" t="s">
        <v>631</v>
      </c>
      <c r="C584" s="10" t="s">
        <v>60</v>
      </c>
      <c r="D584" s="74">
        <f>'В-26,27'!G727</f>
        <v>0</v>
      </c>
      <c r="E584" s="74">
        <f>'В-26,27'!H727</f>
        <v>0</v>
      </c>
      <c r="F584" s="72"/>
    </row>
    <row r="585" spans="1:6" ht="93.75" hidden="1" x14ac:dyDescent="0.3">
      <c r="A585" s="12" t="s">
        <v>580</v>
      </c>
      <c r="B585" s="29" t="s">
        <v>630</v>
      </c>
      <c r="C585" s="10" t="s">
        <v>51</v>
      </c>
      <c r="D585" s="74">
        <f>D586</f>
        <v>0</v>
      </c>
      <c r="E585" s="74">
        <f>E586</f>
        <v>0</v>
      </c>
      <c r="F585" s="72"/>
    </row>
    <row r="586" spans="1:6" ht="37.5" hidden="1" x14ac:dyDescent="0.3">
      <c r="A586" s="12" t="s">
        <v>433</v>
      </c>
      <c r="B586" s="29" t="s">
        <v>630</v>
      </c>
      <c r="C586" s="10" t="s">
        <v>60</v>
      </c>
      <c r="D586" s="74">
        <f>'В-26,27'!G729</f>
        <v>0</v>
      </c>
      <c r="E586" s="74">
        <f>'В-26,27'!H729</f>
        <v>0</v>
      </c>
      <c r="F586" s="72"/>
    </row>
    <row r="587" spans="1:6" ht="93.75" hidden="1" x14ac:dyDescent="0.3">
      <c r="A587" s="12" t="s">
        <v>593</v>
      </c>
      <c r="B587" s="29" t="s">
        <v>629</v>
      </c>
      <c r="C587" s="10" t="s">
        <v>51</v>
      </c>
      <c r="D587" s="74">
        <f>D588</f>
        <v>0</v>
      </c>
      <c r="E587" s="74">
        <f>E588</f>
        <v>0</v>
      </c>
      <c r="F587" s="72"/>
    </row>
    <row r="588" spans="1:6" ht="37.5" hidden="1" x14ac:dyDescent="0.3">
      <c r="A588" s="12" t="s">
        <v>433</v>
      </c>
      <c r="B588" s="29" t="s">
        <v>629</v>
      </c>
      <c r="C588" s="10" t="s">
        <v>60</v>
      </c>
      <c r="D588" s="74">
        <f>'В-26,27'!G884</f>
        <v>0</v>
      </c>
      <c r="E588" s="74">
        <f>'В-26,27'!H884</f>
        <v>0</v>
      </c>
      <c r="F588" s="72"/>
    </row>
    <row r="589" spans="1:6" ht="93.75" hidden="1" x14ac:dyDescent="0.3">
      <c r="A589" s="12" t="s">
        <v>581</v>
      </c>
      <c r="B589" s="29" t="s">
        <v>628</v>
      </c>
      <c r="C589" s="10" t="s">
        <v>51</v>
      </c>
      <c r="D589" s="74">
        <f>D590</f>
        <v>0</v>
      </c>
      <c r="E589" s="74">
        <f>E590</f>
        <v>0</v>
      </c>
      <c r="F589" s="72"/>
    </row>
    <row r="590" spans="1:6" ht="37.5" hidden="1" x14ac:dyDescent="0.3">
      <c r="A590" s="12" t="s">
        <v>433</v>
      </c>
      <c r="B590" s="29" t="s">
        <v>628</v>
      </c>
      <c r="C590" s="10" t="s">
        <v>60</v>
      </c>
      <c r="D590" s="74">
        <f>'В-26,27'!G731</f>
        <v>0</v>
      </c>
      <c r="E590" s="74">
        <f>'В-26,27'!H731</f>
        <v>0</v>
      </c>
      <c r="F590" s="72"/>
    </row>
    <row r="591" spans="1:6" ht="112.5" hidden="1" x14ac:dyDescent="0.3">
      <c r="A591" s="12" t="s">
        <v>611</v>
      </c>
      <c r="B591" s="11" t="s">
        <v>607</v>
      </c>
      <c r="C591" s="10" t="s">
        <v>51</v>
      </c>
      <c r="D591" s="74">
        <f>D592</f>
        <v>0</v>
      </c>
      <c r="E591" s="74">
        <f>E592</f>
        <v>0</v>
      </c>
      <c r="F591" s="72"/>
    </row>
    <row r="592" spans="1:6" ht="37.5" hidden="1" x14ac:dyDescent="0.3">
      <c r="A592" s="12" t="s">
        <v>267</v>
      </c>
      <c r="B592" s="11" t="s">
        <v>607</v>
      </c>
      <c r="C592" s="1">
        <v>600</v>
      </c>
      <c r="D592" s="74">
        <f>'В-26,27'!G1229</f>
        <v>0</v>
      </c>
      <c r="E592" s="74">
        <f>'В-26,27'!H1229</f>
        <v>0</v>
      </c>
      <c r="F592" s="72"/>
    </row>
    <row r="593" spans="1:6" ht="156.75" hidden="1" customHeight="1" x14ac:dyDescent="0.3">
      <c r="A593" s="12" t="s">
        <v>556</v>
      </c>
      <c r="B593" s="10" t="s">
        <v>626</v>
      </c>
      <c r="C593" s="10" t="s">
        <v>51</v>
      </c>
      <c r="D593" s="74">
        <f>D594</f>
        <v>0</v>
      </c>
      <c r="E593" s="74">
        <f>E594</f>
        <v>0</v>
      </c>
      <c r="F593" s="72"/>
    </row>
    <row r="594" spans="1:6" ht="37.5" hidden="1" x14ac:dyDescent="0.3">
      <c r="A594" s="12" t="s">
        <v>433</v>
      </c>
      <c r="B594" s="10" t="s">
        <v>626</v>
      </c>
      <c r="C594" s="10" t="s">
        <v>60</v>
      </c>
      <c r="D594" s="74">
        <f>'В-26,27'!G198</f>
        <v>0</v>
      </c>
      <c r="E594" s="74">
        <f>'В-26,27'!H198</f>
        <v>0</v>
      </c>
      <c r="F594" s="72"/>
    </row>
    <row r="595" spans="1:6" ht="75" hidden="1" x14ac:dyDescent="0.3">
      <c r="A595" s="12" t="s">
        <v>557</v>
      </c>
      <c r="B595" s="10" t="s">
        <v>627</v>
      </c>
      <c r="C595" s="10" t="s">
        <v>51</v>
      </c>
      <c r="D595" s="74">
        <f>D596</f>
        <v>0</v>
      </c>
      <c r="E595" s="74">
        <f>E596</f>
        <v>0</v>
      </c>
      <c r="F595" s="72"/>
    </row>
    <row r="596" spans="1:6" ht="37.5" hidden="1" x14ac:dyDescent="0.3">
      <c r="A596" s="12" t="s">
        <v>433</v>
      </c>
      <c r="B596" s="10" t="s">
        <v>627</v>
      </c>
      <c r="C596" s="10" t="s">
        <v>60</v>
      </c>
      <c r="D596" s="74">
        <f>'В-26,27'!G200</f>
        <v>0</v>
      </c>
      <c r="E596" s="74">
        <f>'В-26,27'!H200</f>
        <v>0</v>
      </c>
      <c r="F596" s="72"/>
    </row>
    <row r="597" spans="1:6" ht="37.5" hidden="1" x14ac:dyDescent="0.3">
      <c r="A597" s="124" t="s">
        <v>293</v>
      </c>
      <c r="B597" s="10" t="s">
        <v>295</v>
      </c>
      <c r="C597" s="10" t="s">
        <v>294</v>
      </c>
      <c r="D597" s="74">
        <f>'В-26,27'!G896</f>
        <v>0</v>
      </c>
      <c r="E597" s="74">
        <v>0</v>
      </c>
      <c r="F597" s="72"/>
    </row>
    <row r="598" spans="1:6" ht="18.75" hidden="1" x14ac:dyDescent="0.3">
      <c r="A598" s="224" t="s">
        <v>61</v>
      </c>
      <c r="B598" s="91" t="s">
        <v>295</v>
      </c>
      <c r="C598" s="128" t="s">
        <v>62</v>
      </c>
      <c r="D598" s="74">
        <f>'В-26,27'!G897</f>
        <v>0</v>
      </c>
      <c r="E598" s="74">
        <v>0</v>
      </c>
      <c r="F598" s="72"/>
    </row>
    <row r="599" spans="1:6" ht="37.5" x14ac:dyDescent="0.3">
      <c r="A599" s="224" t="s">
        <v>875</v>
      </c>
      <c r="B599" s="29" t="s">
        <v>876</v>
      </c>
      <c r="C599" s="10" t="s">
        <v>51</v>
      </c>
      <c r="D599" s="74">
        <f>D600</f>
        <v>2378.4</v>
      </c>
      <c r="E599" s="74">
        <f>E600</f>
        <v>0</v>
      </c>
      <c r="F599" s="72"/>
    </row>
    <row r="600" spans="1:6" ht="37.5" x14ac:dyDescent="0.3">
      <c r="A600" s="124" t="s">
        <v>433</v>
      </c>
      <c r="B600" s="29" t="s">
        <v>876</v>
      </c>
      <c r="C600" s="10" t="s">
        <v>60</v>
      </c>
      <c r="D600" s="74">
        <f>'В-26,27'!G908</f>
        <v>2378.4</v>
      </c>
      <c r="E600" s="74">
        <v>0</v>
      </c>
      <c r="F600" s="72"/>
    </row>
    <row r="601" spans="1:6" ht="37.5" x14ac:dyDescent="0.3">
      <c r="A601" s="224" t="s">
        <v>875</v>
      </c>
      <c r="B601" s="29" t="s">
        <v>877</v>
      </c>
      <c r="C601" s="10" t="s">
        <v>51</v>
      </c>
      <c r="D601" s="74">
        <f>D602</f>
        <v>2378.4</v>
      </c>
      <c r="E601" s="74">
        <f>E602</f>
        <v>0</v>
      </c>
      <c r="F601" s="72"/>
    </row>
    <row r="602" spans="1:6" ht="37.5" x14ac:dyDescent="0.3">
      <c r="A602" s="124" t="s">
        <v>433</v>
      </c>
      <c r="B602" s="29" t="s">
        <v>877</v>
      </c>
      <c r="C602" s="10" t="s">
        <v>60</v>
      </c>
      <c r="D602" s="74">
        <f>'В-26,27'!G910</f>
        <v>2378.4</v>
      </c>
      <c r="E602" s="74">
        <v>0</v>
      </c>
      <c r="F602" s="72"/>
    </row>
    <row r="603" spans="1:6" ht="19.5" x14ac:dyDescent="0.35">
      <c r="A603" s="66" t="s">
        <v>417</v>
      </c>
      <c r="B603" s="49" t="s">
        <v>429</v>
      </c>
      <c r="C603" s="50" t="s">
        <v>51</v>
      </c>
      <c r="D603" s="94">
        <f>D604+D613+D609+D607</f>
        <v>100.2</v>
      </c>
      <c r="E603" s="94">
        <f>E604</f>
        <v>100</v>
      </c>
      <c r="F603" s="72"/>
    </row>
    <row r="604" spans="1:6" ht="18.75" x14ac:dyDescent="0.3">
      <c r="A604" s="12" t="s">
        <v>63</v>
      </c>
      <c r="B604" s="10" t="s">
        <v>430</v>
      </c>
      <c r="C604" s="10" t="s">
        <v>51</v>
      </c>
      <c r="D604" s="74">
        <f>D605</f>
        <v>100.2</v>
      </c>
      <c r="E604" s="74">
        <f>E605</f>
        <v>100</v>
      </c>
      <c r="F604" s="72"/>
    </row>
    <row r="605" spans="1:6" ht="18.75" x14ac:dyDescent="0.3">
      <c r="A605" s="18" t="s">
        <v>397</v>
      </c>
      <c r="B605" s="10" t="s">
        <v>625</v>
      </c>
      <c r="C605" s="10" t="s">
        <v>51</v>
      </c>
      <c r="D605" s="74">
        <f>D606</f>
        <v>100.2</v>
      </c>
      <c r="E605" s="74">
        <f>E606</f>
        <v>100</v>
      </c>
      <c r="F605" s="72"/>
    </row>
    <row r="606" spans="1:6" ht="37.5" x14ac:dyDescent="0.3">
      <c r="A606" s="12" t="s">
        <v>433</v>
      </c>
      <c r="B606" s="10" t="s">
        <v>625</v>
      </c>
      <c r="C606" s="10" t="s">
        <v>60</v>
      </c>
      <c r="D606" s="74">
        <f>'В-26,27'!G636</f>
        <v>100.2</v>
      </c>
      <c r="E606" s="74">
        <f>'В-26,27'!H636</f>
        <v>100</v>
      </c>
      <c r="F606" s="72"/>
    </row>
    <row r="607" spans="1:6" ht="56.25" hidden="1" x14ac:dyDescent="0.3">
      <c r="A607" s="12" t="s">
        <v>501</v>
      </c>
      <c r="B607" s="10" t="s">
        <v>694</v>
      </c>
      <c r="C607" s="10" t="s">
        <v>51</v>
      </c>
      <c r="D607" s="74">
        <f>D608</f>
        <v>0</v>
      </c>
      <c r="E607" s="74">
        <f>E608</f>
        <v>0</v>
      </c>
      <c r="F607" s="72"/>
    </row>
    <row r="608" spans="1:6" ht="18.75" hidden="1" x14ac:dyDescent="0.3">
      <c r="A608" s="12" t="s">
        <v>61</v>
      </c>
      <c r="B608" s="10" t="s">
        <v>694</v>
      </c>
      <c r="C608" s="10" t="s">
        <v>62</v>
      </c>
      <c r="D608" s="74">
        <f>'В-26,27'!G509</f>
        <v>0</v>
      </c>
      <c r="E608" s="74">
        <f>'В-26,27'!H509</f>
        <v>0</v>
      </c>
      <c r="F608" s="72"/>
    </row>
    <row r="609" spans="1:6" ht="37.5" hidden="1" x14ac:dyDescent="0.3">
      <c r="A609" s="33" t="s">
        <v>622</v>
      </c>
      <c r="B609" s="29" t="s">
        <v>623</v>
      </c>
      <c r="C609" s="29" t="s">
        <v>51</v>
      </c>
      <c r="D609" s="74">
        <f>D610</f>
        <v>0</v>
      </c>
      <c r="E609" s="74">
        <f>E610</f>
        <v>0</v>
      </c>
      <c r="F609" s="72"/>
    </row>
    <row r="610" spans="1:6" ht="18.75" hidden="1" x14ac:dyDescent="0.3">
      <c r="A610" s="33" t="s">
        <v>61</v>
      </c>
      <c r="B610" s="29" t="s">
        <v>623</v>
      </c>
      <c r="C610" s="29" t="s">
        <v>62</v>
      </c>
      <c r="D610" s="74">
        <f>'В-26,27'!G824</f>
        <v>0</v>
      </c>
      <c r="E610" s="74">
        <f>'В-26,27'!H824</f>
        <v>0</v>
      </c>
      <c r="F610" s="72"/>
    </row>
    <row r="611" spans="1:6" ht="37.5" hidden="1" x14ac:dyDescent="0.3">
      <c r="A611" s="42" t="s">
        <v>353</v>
      </c>
      <c r="B611" s="29" t="s">
        <v>713</v>
      </c>
      <c r="C611" s="10" t="s">
        <v>51</v>
      </c>
      <c r="D611" s="74">
        <v>0</v>
      </c>
      <c r="E611" s="74">
        <v>0</v>
      </c>
      <c r="F611" s="72"/>
    </row>
    <row r="612" spans="1:6" ht="18.75" hidden="1" x14ac:dyDescent="0.3">
      <c r="A612" s="12" t="s">
        <v>714</v>
      </c>
      <c r="B612" s="29" t="s">
        <v>624</v>
      </c>
      <c r="C612" s="10" t="s">
        <v>51</v>
      </c>
      <c r="D612" s="74">
        <v>0</v>
      </c>
      <c r="E612" s="74">
        <v>0</v>
      </c>
      <c r="F612" s="72"/>
    </row>
    <row r="613" spans="1:6" ht="37.5" hidden="1" x14ac:dyDescent="0.3">
      <c r="A613" s="84" t="s">
        <v>590</v>
      </c>
      <c r="B613" s="29" t="s">
        <v>624</v>
      </c>
      <c r="C613" s="10" t="s">
        <v>51</v>
      </c>
      <c r="D613" s="74">
        <f>D614</f>
        <v>0</v>
      </c>
      <c r="E613" s="74">
        <f>E614</f>
        <v>0</v>
      </c>
      <c r="F613" s="72"/>
    </row>
    <row r="614" spans="1:6" ht="37.5" hidden="1" x14ac:dyDescent="0.3">
      <c r="A614" s="12" t="s">
        <v>433</v>
      </c>
      <c r="B614" s="29" t="s">
        <v>624</v>
      </c>
      <c r="C614" s="10" t="s">
        <v>60</v>
      </c>
      <c r="D614" s="74">
        <f>'В-26,27'!G922</f>
        <v>0</v>
      </c>
      <c r="E614" s="74">
        <v>0</v>
      </c>
      <c r="F614" s="72"/>
    </row>
    <row r="615" spans="1:6" ht="37.5" x14ac:dyDescent="0.3">
      <c r="A615" s="5" t="s">
        <v>12</v>
      </c>
      <c r="B615" s="15" t="s">
        <v>103</v>
      </c>
      <c r="C615" s="8" t="s">
        <v>51</v>
      </c>
      <c r="D615" s="93">
        <f>D619+D624+D616+D643+D650+D651</f>
        <v>16532</v>
      </c>
      <c r="E615" s="93">
        <f t="shared" ref="E615:F615" si="7">E619+E624+E616+E643+E650+E651</f>
        <v>13532</v>
      </c>
      <c r="F615" s="93">
        <f t="shared" si="7"/>
        <v>0</v>
      </c>
    </row>
    <row r="616" spans="1:6" ht="18.75" hidden="1" x14ac:dyDescent="0.3">
      <c r="A616" s="33" t="s">
        <v>63</v>
      </c>
      <c r="B616" s="10" t="s">
        <v>474</v>
      </c>
      <c r="C616" s="10" t="s">
        <v>51</v>
      </c>
      <c r="D616" s="74">
        <f>D617</f>
        <v>0</v>
      </c>
      <c r="E616" s="74">
        <f>E617</f>
        <v>0</v>
      </c>
      <c r="F616" s="72"/>
    </row>
    <row r="617" spans="1:6" ht="18.75" hidden="1" x14ac:dyDescent="0.3">
      <c r="A617" s="33" t="s">
        <v>65</v>
      </c>
      <c r="B617" s="10" t="s">
        <v>462</v>
      </c>
      <c r="C617" s="10" t="s">
        <v>51</v>
      </c>
      <c r="D617" s="74">
        <f>D618</f>
        <v>0</v>
      </c>
      <c r="E617" s="74">
        <f>E618</f>
        <v>0</v>
      </c>
      <c r="F617" s="72"/>
    </row>
    <row r="618" spans="1:6" ht="37.5" hidden="1" x14ac:dyDescent="0.3">
      <c r="A618" s="12" t="s">
        <v>433</v>
      </c>
      <c r="B618" s="10" t="s">
        <v>462</v>
      </c>
      <c r="C618" s="10" t="s">
        <v>60</v>
      </c>
      <c r="D618" s="74">
        <f>'[2]В-21'!G519</f>
        <v>0</v>
      </c>
      <c r="E618" s="74">
        <f>'[2]В-21'!H519</f>
        <v>0</v>
      </c>
      <c r="F618" s="72"/>
    </row>
    <row r="619" spans="1:6" ht="37.5" hidden="1" x14ac:dyDescent="0.3">
      <c r="A619" s="42" t="s">
        <v>353</v>
      </c>
      <c r="B619" s="29" t="s">
        <v>356</v>
      </c>
      <c r="C619" s="14" t="s">
        <v>51</v>
      </c>
      <c r="D619" s="74">
        <f>D620</f>
        <v>0</v>
      </c>
      <c r="E619" s="74">
        <f>E620</f>
        <v>0</v>
      </c>
      <c r="F619" s="72"/>
    </row>
    <row r="620" spans="1:6" ht="42.75" hidden="1" customHeight="1" x14ac:dyDescent="0.3">
      <c r="A620" s="42" t="s">
        <v>354</v>
      </c>
      <c r="B620" s="29" t="s">
        <v>357</v>
      </c>
      <c r="C620" s="14" t="s">
        <v>51</v>
      </c>
      <c r="D620" s="74">
        <f>D621</f>
        <v>0</v>
      </c>
      <c r="E620" s="74">
        <f>E621</f>
        <v>0</v>
      </c>
      <c r="F620" s="72"/>
    </row>
    <row r="621" spans="1:6" ht="24" hidden="1" customHeight="1" x14ac:dyDescent="0.3">
      <c r="A621" s="33" t="s">
        <v>355</v>
      </c>
      <c r="B621" s="29" t="s">
        <v>358</v>
      </c>
      <c r="C621" s="29" t="s">
        <v>51</v>
      </c>
      <c r="D621" s="74">
        <f>D622+D623</f>
        <v>0</v>
      </c>
      <c r="E621" s="74">
        <f>E622+E623</f>
        <v>0</v>
      </c>
      <c r="F621" s="72"/>
    </row>
    <row r="622" spans="1:6" ht="37.5" hidden="1" x14ac:dyDescent="0.3">
      <c r="A622" s="12" t="s">
        <v>433</v>
      </c>
      <c r="B622" s="29" t="s">
        <v>358</v>
      </c>
      <c r="C622" s="29" t="s">
        <v>60</v>
      </c>
      <c r="D622" s="74">
        <f>'В-26,27'!G904+'В-26,27'!G751</f>
        <v>0</v>
      </c>
      <c r="E622" s="74">
        <f>'В-26,27'!H904+'В-26,27'!H751</f>
        <v>0</v>
      </c>
      <c r="F622" s="72"/>
    </row>
    <row r="623" spans="1:6" ht="37.5" hidden="1" x14ac:dyDescent="0.3">
      <c r="A623" s="12" t="s">
        <v>267</v>
      </c>
      <c r="B623" s="29" t="s">
        <v>358</v>
      </c>
      <c r="C623" s="29" t="s">
        <v>264</v>
      </c>
      <c r="D623" s="74">
        <f>'В-26,27'!G906</f>
        <v>0</v>
      </c>
      <c r="E623" s="74">
        <f>'В-26,27'!H906</f>
        <v>0</v>
      </c>
      <c r="F623" s="72"/>
    </row>
    <row r="624" spans="1:6" ht="19.5" x14ac:dyDescent="0.35">
      <c r="A624" s="66" t="s">
        <v>417</v>
      </c>
      <c r="B624" s="11" t="s">
        <v>107</v>
      </c>
      <c r="C624" s="29" t="s">
        <v>51</v>
      </c>
      <c r="D624" s="74">
        <f>'В-26,27'!G911</f>
        <v>3400</v>
      </c>
      <c r="E624" s="74">
        <f>'В-26,27'!H911</f>
        <v>400</v>
      </c>
      <c r="F624" s="72"/>
    </row>
    <row r="625" spans="1:6" ht="18.75" x14ac:dyDescent="0.3">
      <c r="A625" s="33" t="s">
        <v>63</v>
      </c>
      <c r="B625" s="29" t="s">
        <v>359</v>
      </c>
      <c r="C625" s="29" t="s">
        <v>51</v>
      </c>
      <c r="D625" s="74">
        <f>'В-26,27'!G912</f>
        <v>3400</v>
      </c>
      <c r="E625" s="74">
        <f>'В-26,27'!H912</f>
        <v>400</v>
      </c>
      <c r="F625" s="72"/>
    </row>
    <row r="626" spans="1:6" ht="24.75" customHeight="1" x14ac:dyDescent="0.3">
      <c r="A626" s="33" t="s">
        <v>355</v>
      </c>
      <c r="B626" s="29" t="s">
        <v>360</v>
      </c>
      <c r="C626" s="29" t="s">
        <v>51</v>
      </c>
      <c r="D626" s="74">
        <f>D627+D628</f>
        <v>3400</v>
      </c>
      <c r="E626" s="74">
        <f>E627+E628</f>
        <v>400</v>
      </c>
      <c r="F626" s="72"/>
    </row>
    <row r="627" spans="1:6" ht="37.5" x14ac:dyDescent="0.3">
      <c r="A627" s="12" t="s">
        <v>433</v>
      </c>
      <c r="B627" s="29" t="s">
        <v>360</v>
      </c>
      <c r="C627" s="29" t="s">
        <v>60</v>
      </c>
      <c r="D627" s="74">
        <f>'В-26,27'!G914</f>
        <v>3400</v>
      </c>
      <c r="E627" s="74">
        <f>'В-26,27'!H914</f>
        <v>400</v>
      </c>
      <c r="F627" s="72"/>
    </row>
    <row r="628" spans="1:6" ht="47.25" hidden="1" customHeight="1" x14ac:dyDescent="0.3">
      <c r="A628" s="12" t="s">
        <v>293</v>
      </c>
      <c r="B628" s="29" t="s">
        <v>360</v>
      </c>
      <c r="C628" s="29" t="s">
        <v>294</v>
      </c>
      <c r="D628" s="74">
        <f>'В-26,27'!G915</f>
        <v>0</v>
      </c>
      <c r="E628" s="74">
        <f>'В-26,27'!H915</f>
        <v>0</v>
      </c>
      <c r="F628" s="72"/>
    </row>
    <row r="629" spans="1:6" ht="56.25" hidden="1" x14ac:dyDescent="0.3">
      <c r="A629" s="5" t="s">
        <v>13</v>
      </c>
      <c r="B629" s="15" t="s">
        <v>136</v>
      </c>
      <c r="C629" s="8" t="s">
        <v>51</v>
      </c>
      <c r="D629" s="93">
        <f>D630+D639</f>
        <v>0</v>
      </c>
      <c r="E629" s="93">
        <f>E630</f>
        <v>0</v>
      </c>
      <c r="F629" s="72"/>
    </row>
    <row r="630" spans="1:6" ht="60" hidden="1" customHeight="1" x14ac:dyDescent="0.35">
      <c r="A630" s="51" t="s">
        <v>14</v>
      </c>
      <c r="B630" s="49" t="s">
        <v>30</v>
      </c>
      <c r="C630" s="50" t="s">
        <v>51</v>
      </c>
      <c r="D630" s="94">
        <f>D631</f>
        <v>0</v>
      </c>
      <c r="E630" s="94">
        <f>E631</f>
        <v>0</v>
      </c>
      <c r="F630" s="72"/>
    </row>
    <row r="631" spans="1:6" ht="26.25" hidden="1" customHeight="1" x14ac:dyDescent="0.3">
      <c r="A631" s="12" t="s">
        <v>63</v>
      </c>
      <c r="B631" s="10" t="s">
        <v>221</v>
      </c>
      <c r="C631" s="10" t="s">
        <v>51</v>
      </c>
      <c r="D631" s="74">
        <f>D632</f>
        <v>0</v>
      </c>
      <c r="E631" s="74">
        <f>E632</f>
        <v>0</v>
      </c>
      <c r="F631" s="72"/>
    </row>
    <row r="632" spans="1:6" ht="21.75" hidden="1" customHeight="1" x14ac:dyDescent="0.3">
      <c r="A632" s="12" t="s">
        <v>220</v>
      </c>
      <c r="B632" s="10" t="s">
        <v>222</v>
      </c>
      <c r="C632" s="10" t="s">
        <v>51</v>
      </c>
      <c r="D632" s="74">
        <f>D633</f>
        <v>0</v>
      </c>
      <c r="E632" s="74">
        <f>E633</f>
        <v>0</v>
      </c>
      <c r="F632" s="72"/>
    </row>
    <row r="633" spans="1:6" ht="38.25" hidden="1" customHeight="1" x14ac:dyDescent="0.3">
      <c r="A633" s="12" t="s">
        <v>433</v>
      </c>
      <c r="B633" s="10" t="s">
        <v>222</v>
      </c>
      <c r="C633" s="10" t="s">
        <v>60</v>
      </c>
      <c r="D633" s="74">
        <f>'В-26,27'!G514</f>
        <v>0</v>
      </c>
      <c r="E633" s="74">
        <f>'В-26,27'!H514</f>
        <v>0</v>
      </c>
      <c r="F633" s="72"/>
    </row>
    <row r="634" spans="1:6" ht="39" hidden="1" outlineLevel="2" x14ac:dyDescent="0.35">
      <c r="A634" s="51" t="s">
        <v>15</v>
      </c>
      <c r="B634" s="49" t="s">
        <v>31</v>
      </c>
      <c r="C634" s="50" t="s">
        <v>51</v>
      </c>
      <c r="D634" s="94">
        <f>D635</f>
        <v>0</v>
      </c>
      <c r="E634" s="94">
        <f>E635</f>
        <v>0</v>
      </c>
      <c r="F634" s="72"/>
    </row>
    <row r="635" spans="1:6" ht="18.75" hidden="1" outlineLevel="2" x14ac:dyDescent="0.3">
      <c r="A635" s="12" t="s">
        <v>63</v>
      </c>
      <c r="B635" s="10" t="s">
        <v>265</v>
      </c>
      <c r="C635" s="10" t="s">
        <v>51</v>
      </c>
      <c r="D635" s="74">
        <f>D636</f>
        <v>0</v>
      </c>
      <c r="E635" s="74">
        <f>E636</f>
        <v>0</v>
      </c>
      <c r="F635" s="72"/>
    </row>
    <row r="636" spans="1:6" ht="18.75" hidden="1" outlineLevel="2" x14ac:dyDescent="0.3">
      <c r="A636" s="12" t="s">
        <v>263</v>
      </c>
      <c r="B636" s="10" t="s">
        <v>266</v>
      </c>
      <c r="C636" s="10" t="s">
        <v>51</v>
      </c>
      <c r="D636" s="74">
        <f>D637+D638</f>
        <v>0</v>
      </c>
      <c r="E636" s="74">
        <f>E637+E638</f>
        <v>0</v>
      </c>
      <c r="F636" s="72"/>
    </row>
    <row r="637" spans="1:6" ht="18.75" hidden="1" outlineLevel="2" x14ac:dyDescent="0.3">
      <c r="A637" s="12" t="s">
        <v>59</v>
      </c>
      <c r="B637" s="10" t="s">
        <v>266</v>
      </c>
      <c r="C637" s="10" t="s">
        <v>60</v>
      </c>
      <c r="D637" s="74">
        <f>'[2]В-21'!G529</f>
        <v>0</v>
      </c>
      <c r="E637" s="74">
        <f>'[2]В-21'!H529</f>
        <v>0</v>
      </c>
      <c r="F637" s="72"/>
    </row>
    <row r="638" spans="1:6" ht="37.5" hidden="1" outlineLevel="2" x14ac:dyDescent="0.3">
      <c r="A638" s="12" t="s">
        <v>267</v>
      </c>
      <c r="B638" s="10" t="s">
        <v>266</v>
      </c>
      <c r="C638" s="10" t="s">
        <v>264</v>
      </c>
      <c r="D638" s="74">
        <f>'[2]В-21'!G530</f>
        <v>0</v>
      </c>
      <c r="E638" s="74">
        <f>'[2]В-21'!H530</f>
        <v>0</v>
      </c>
      <c r="F638" s="72"/>
    </row>
    <row r="639" spans="1:6" ht="19.5" hidden="1" outlineLevel="1" x14ac:dyDescent="0.35">
      <c r="A639" s="66" t="s">
        <v>417</v>
      </c>
      <c r="B639" s="49" t="s">
        <v>137</v>
      </c>
      <c r="C639" s="55" t="s">
        <v>51</v>
      </c>
      <c r="D639" s="94">
        <f t="shared" ref="D639:E641" si="8">D640</f>
        <v>0</v>
      </c>
      <c r="E639" s="94">
        <f t="shared" si="8"/>
        <v>0</v>
      </c>
      <c r="F639" s="72"/>
    </row>
    <row r="640" spans="1:6" ht="18.75" hidden="1" outlineLevel="1" x14ac:dyDescent="0.3">
      <c r="A640" s="13" t="s">
        <v>63</v>
      </c>
      <c r="B640" s="14" t="s">
        <v>269</v>
      </c>
      <c r="C640" s="14" t="s">
        <v>51</v>
      </c>
      <c r="D640" s="74">
        <f t="shared" si="8"/>
        <v>0</v>
      </c>
      <c r="E640" s="74">
        <f t="shared" si="8"/>
        <v>0</v>
      </c>
      <c r="F640" s="72"/>
    </row>
    <row r="641" spans="1:6" ht="18.75" hidden="1" outlineLevel="1" x14ac:dyDescent="0.3">
      <c r="A641" s="13" t="s">
        <v>268</v>
      </c>
      <c r="B641" s="14" t="s">
        <v>270</v>
      </c>
      <c r="C641" s="14" t="s">
        <v>51</v>
      </c>
      <c r="D641" s="74">
        <f t="shared" si="8"/>
        <v>0</v>
      </c>
      <c r="E641" s="74">
        <f t="shared" si="8"/>
        <v>0</v>
      </c>
      <c r="F641" s="72"/>
    </row>
    <row r="642" spans="1:6" ht="37.5" hidden="1" outlineLevel="1" x14ac:dyDescent="0.3">
      <c r="A642" s="12" t="s">
        <v>432</v>
      </c>
      <c r="B642" s="14" t="s">
        <v>270</v>
      </c>
      <c r="C642" s="14" t="s">
        <v>60</v>
      </c>
      <c r="D642" s="74">
        <f>'[2]В-21'!G534</f>
        <v>0</v>
      </c>
      <c r="E642" s="74">
        <f>'[2]В-21'!H534</f>
        <v>0</v>
      </c>
      <c r="F642" s="72"/>
    </row>
    <row r="643" spans="1:6" ht="18.75" hidden="1" outlineLevel="1" x14ac:dyDescent="0.3">
      <c r="A643" s="124" t="s">
        <v>620</v>
      </c>
      <c r="B643" s="122" t="s">
        <v>761</v>
      </c>
      <c r="C643" s="91" t="s">
        <v>51</v>
      </c>
      <c r="D643" s="74">
        <f>D644</f>
        <v>0</v>
      </c>
      <c r="E643" s="74">
        <v>0</v>
      </c>
      <c r="F643" s="72"/>
    </row>
    <row r="644" spans="1:6" ht="37.5" hidden="1" outlineLevel="1" x14ac:dyDescent="0.3">
      <c r="A644" s="124" t="s">
        <v>433</v>
      </c>
      <c r="B644" s="122" t="s">
        <v>761</v>
      </c>
      <c r="C644" s="91" t="s">
        <v>60</v>
      </c>
      <c r="D644" s="74">
        <f>'В-26,27'!G938</f>
        <v>0</v>
      </c>
      <c r="E644" s="74">
        <v>0</v>
      </c>
      <c r="F644" s="72"/>
    </row>
    <row r="645" spans="1:6" ht="56.25" hidden="1" outlineLevel="1" x14ac:dyDescent="0.3">
      <c r="A645" s="196" t="s">
        <v>13</v>
      </c>
      <c r="B645" s="15" t="s">
        <v>136</v>
      </c>
      <c r="C645" s="8" t="s">
        <v>51</v>
      </c>
      <c r="D645" s="93">
        <f>D646</f>
        <v>0</v>
      </c>
      <c r="E645" s="93">
        <v>0</v>
      </c>
      <c r="F645" s="72"/>
    </row>
    <row r="646" spans="1:6" ht="56.25" hidden="1" outlineLevel="1" x14ac:dyDescent="0.3">
      <c r="A646" s="121" t="s">
        <v>14</v>
      </c>
      <c r="B646" s="11" t="s">
        <v>30</v>
      </c>
      <c r="C646" s="10" t="s">
        <v>51</v>
      </c>
      <c r="D646" s="74">
        <f>D647</f>
        <v>0</v>
      </c>
      <c r="E646" s="74">
        <v>0</v>
      </c>
      <c r="F646" s="72"/>
    </row>
    <row r="647" spans="1:6" ht="18.75" hidden="1" outlineLevel="1" x14ac:dyDescent="0.3">
      <c r="A647" s="124" t="s">
        <v>63</v>
      </c>
      <c r="B647" s="10" t="s">
        <v>221</v>
      </c>
      <c r="C647" s="10" t="s">
        <v>51</v>
      </c>
      <c r="D647" s="74">
        <f>D648</f>
        <v>0</v>
      </c>
      <c r="E647" s="74">
        <v>0</v>
      </c>
      <c r="F647" s="72"/>
    </row>
    <row r="648" spans="1:6" ht="18.75" hidden="1" outlineLevel="1" x14ac:dyDescent="0.3">
      <c r="A648" s="124" t="s">
        <v>220</v>
      </c>
      <c r="B648" s="10" t="s">
        <v>222</v>
      </c>
      <c r="C648" s="10" t="s">
        <v>51</v>
      </c>
      <c r="D648" s="74">
        <f>D649</f>
        <v>0</v>
      </c>
      <c r="E648" s="74">
        <v>0</v>
      </c>
      <c r="F648" s="72"/>
    </row>
    <row r="649" spans="1:6" ht="37.5" hidden="1" outlineLevel="1" x14ac:dyDescent="0.3">
      <c r="A649" s="124" t="s">
        <v>433</v>
      </c>
      <c r="B649" s="10" t="s">
        <v>222</v>
      </c>
      <c r="C649" s="10" t="s">
        <v>60</v>
      </c>
      <c r="D649" s="74">
        <f>'В-26,27'!G519</f>
        <v>0</v>
      </c>
      <c r="E649" s="74">
        <v>0</v>
      </c>
      <c r="F649" s="72"/>
    </row>
    <row r="650" spans="1:6" ht="39" hidden="1" outlineLevel="1" x14ac:dyDescent="0.35">
      <c r="A650" s="245" t="s">
        <v>12</v>
      </c>
      <c r="B650" s="49" t="s">
        <v>103</v>
      </c>
      <c r="C650" s="50" t="s">
        <v>51</v>
      </c>
      <c r="D650" s="94">
        <v>0</v>
      </c>
      <c r="E650" s="94">
        <v>0</v>
      </c>
      <c r="F650" s="72"/>
    </row>
    <row r="651" spans="1:6" ht="37.5" outlineLevel="1" x14ac:dyDescent="0.3">
      <c r="A651" s="172" t="s">
        <v>407</v>
      </c>
      <c r="B651" s="29" t="s">
        <v>356</v>
      </c>
      <c r="C651" s="14" t="s">
        <v>51</v>
      </c>
      <c r="D651" s="74">
        <f t="shared" ref="D651:E653" si="9">D652</f>
        <v>13132</v>
      </c>
      <c r="E651" s="74">
        <f t="shared" si="9"/>
        <v>13132</v>
      </c>
      <c r="F651" s="72"/>
    </row>
    <row r="652" spans="1:6" ht="37.5" outlineLevel="1" x14ac:dyDescent="0.3">
      <c r="A652" s="172" t="s">
        <v>408</v>
      </c>
      <c r="B652" s="29" t="s">
        <v>357</v>
      </c>
      <c r="C652" s="14" t="s">
        <v>51</v>
      </c>
      <c r="D652" s="74">
        <f t="shared" si="9"/>
        <v>13132</v>
      </c>
      <c r="E652" s="74">
        <f t="shared" si="9"/>
        <v>13132</v>
      </c>
      <c r="F652" s="72"/>
    </row>
    <row r="653" spans="1:6" ht="18.75" outlineLevel="1" x14ac:dyDescent="0.3">
      <c r="A653" s="130" t="s">
        <v>355</v>
      </c>
      <c r="B653" s="29" t="s">
        <v>358</v>
      </c>
      <c r="C653" s="29" t="s">
        <v>51</v>
      </c>
      <c r="D653" s="74">
        <f t="shared" si="9"/>
        <v>13132</v>
      </c>
      <c r="E653" s="74">
        <f t="shared" si="9"/>
        <v>13132</v>
      </c>
      <c r="F653" s="72"/>
    </row>
    <row r="654" spans="1:6" ht="37.5" outlineLevel="1" x14ac:dyDescent="0.3">
      <c r="A654" s="124" t="s">
        <v>433</v>
      </c>
      <c r="B654" s="29" t="s">
        <v>358</v>
      </c>
      <c r="C654" s="29" t="s">
        <v>60</v>
      </c>
      <c r="D654" s="74">
        <f>'В-26,27'!G943</f>
        <v>13132</v>
      </c>
      <c r="E654" s="74">
        <f>'В-26,27'!H943</f>
        <v>13132</v>
      </c>
      <c r="F654" s="72"/>
    </row>
    <row r="655" spans="1:6" ht="37.5" x14ac:dyDescent="0.3">
      <c r="A655" s="43" t="s">
        <v>16</v>
      </c>
      <c r="B655" s="15" t="s">
        <v>32</v>
      </c>
      <c r="C655" s="17" t="s">
        <v>51</v>
      </c>
      <c r="D655" s="93">
        <f>D656+D664+D693</f>
        <v>87734.709999999992</v>
      </c>
      <c r="E655" s="93">
        <f>E656+E664+E693</f>
        <v>98941.659999999989</v>
      </c>
      <c r="F655" s="72"/>
    </row>
    <row r="656" spans="1:6" ht="39" hidden="1" x14ac:dyDescent="0.35">
      <c r="A656" s="54" t="s">
        <v>17</v>
      </c>
      <c r="B656" s="49" t="s">
        <v>33</v>
      </c>
      <c r="C656" s="55" t="s">
        <v>51</v>
      </c>
      <c r="D656" s="94">
        <f>D657+D659+D662</f>
        <v>0</v>
      </c>
      <c r="E656" s="94">
        <f>E657+E659+E662</f>
        <v>0</v>
      </c>
      <c r="F656" s="72"/>
    </row>
    <row r="657" spans="1:6" ht="40.5" hidden="1" customHeight="1" x14ac:dyDescent="0.3">
      <c r="A657" s="2" t="s">
        <v>673</v>
      </c>
      <c r="B657" s="11" t="s">
        <v>715</v>
      </c>
      <c r="C657" s="11" t="s">
        <v>51</v>
      </c>
      <c r="D657" s="74">
        <f>D658</f>
        <v>0</v>
      </c>
      <c r="E657" s="74">
        <f>E658</f>
        <v>0</v>
      </c>
      <c r="F657" s="72"/>
    </row>
    <row r="658" spans="1:6" ht="45.75" hidden="1" customHeight="1" x14ac:dyDescent="0.3">
      <c r="A658" s="12" t="s">
        <v>433</v>
      </c>
      <c r="B658" s="11" t="s">
        <v>715</v>
      </c>
      <c r="C658" s="11" t="s">
        <v>60</v>
      </c>
      <c r="D658" s="74">
        <f>'В-26,27'!G364</f>
        <v>0</v>
      </c>
      <c r="E658" s="74">
        <f>'В-26,27'!H364</f>
        <v>0</v>
      </c>
      <c r="F658" s="72"/>
    </row>
    <row r="659" spans="1:6" ht="56.25" hidden="1" x14ac:dyDescent="0.3">
      <c r="A659" s="12" t="s">
        <v>252</v>
      </c>
      <c r="B659" s="61" t="s">
        <v>387</v>
      </c>
      <c r="C659" s="29" t="s">
        <v>51</v>
      </c>
      <c r="D659" s="74">
        <f>D660</f>
        <v>0</v>
      </c>
      <c r="E659" s="74">
        <f>E660</f>
        <v>0</v>
      </c>
      <c r="F659" s="72"/>
    </row>
    <row r="660" spans="1:6" ht="75" hidden="1" x14ac:dyDescent="0.3">
      <c r="A660" s="12" t="s">
        <v>445</v>
      </c>
      <c r="B660" s="61" t="s">
        <v>388</v>
      </c>
      <c r="C660" s="29" t="s">
        <v>51</v>
      </c>
      <c r="D660" s="74">
        <f>D661</f>
        <v>0</v>
      </c>
      <c r="E660" s="74">
        <f>E661</f>
        <v>0</v>
      </c>
      <c r="F660" s="72"/>
    </row>
    <row r="661" spans="1:6" ht="37.5" hidden="1" x14ac:dyDescent="0.3">
      <c r="A661" s="12" t="s">
        <v>433</v>
      </c>
      <c r="B661" s="61" t="s">
        <v>388</v>
      </c>
      <c r="C661" s="11" t="s">
        <v>60</v>
      </c>
      <c r="D661" s="74">
        <f>'В-26,27'!G1008</f>
        <v>0</v>
      </c>
      <c r="E661" s="74">
        <f>'В-26,27'!H1008</f>
        <v>0</v>
      </c>
      <c r="F661" s="72"/>
    </row>
    <row r="662" spans="1:6" ht="75" hidden="1" x14ac:dyDescent="0.3">
      <c r="A662" s="12" t="s">
        <v>448</v>
      </c>
      <c r="B662" s="79" t="s">
        <v>389</v>
      </c>
      <c r="C662" s="11" t="s">
        <v>51</v>
      </c>
      <c r="D662" s="74">
        <f>D663</f>
        <v>0</v>
      </c>
      <c r="E662" s="74">
        <f>E663</f>
        <v>0</v>
      </c>
      <c r="F662" s="72"/>
    </row>
    <row r="663" spans="1:6" ht="37.5" hidden="1" x14ac:dyDescent="0.3">
      <c r="A663" s="12" t="s">
        <v>433</v>
      </c>
      <c r="B663" s="79" t="s">
        <v>389</v>
      </c>
      <c r="C663" s="11" t="s">
        <v>60</v>
      </c>
      <c r="D663" s="74">
        <f>'В-26,27'!G1010</f>
        <v>0</v>
      </c>
      <c r="E663" s="74">
        <f>'В-26,27'!H1010</f>
        <v>0</v>
      </c>
      <c r="F663" s="72"/>
    </row>
    <row r="664" spans="1:6" ht="39" x14ac:dyDescent="0.35">
      <c r="A664" s="54" t="s">
        <v>18</v>
      </c>
      <c r="B664" s="49" t="s">
        <v>34</v>
      </c>
      <c r="C664" s="49" t="s">
        <v>51</v>
      </c>
      <c r="D664" s="94">
        <f>D665+D680+D686+D689+D691</f>
        <v>61993.099999999991</v>
      </c>
      <c r="E664" s="94">
        <f>E665+E680+E686+E689+E691</f>
        <v>74240.099999999991</v>
      </c>
      <c r="F664" s="72"/>
    </row>
    <row r="665" spans="1:6" ht="56.25" x14ac:dyDescent="0.3">
      <c r="A665" s="12" t="s">
        <v>104</v>
      </c>
      <c r="B665" s="11" t="s">
        <v>36</v>
      </c>
      <c r="C665" s="11" t="s">
        <v>51</v>
      </c>
      <c r="D665" s="74">
        <f>D666+D670+D676+D674+D668+D678</f>
        <v>50732.999999999993</v>
      </c>
      <c r="E665" s="74">
        <f>E666+E670+E676+E674+E668+E678</f>
        <v>50732.999999999993</v>
      </c>
      <c r="F665" s="72"/>
    </row>
    <row r="666" spans="1:6" ht="18.75" x14ac:dyDescent="0.3">
      <c r="A666" s="12" t="s">
        <v>206</v>
      </c>
      <c r="B666" s="11" t="s">
        <v>364</v>
      </c>
      <c r="C666" s="10" t="s">
        <v>51</v>
      </c>
      <c r="D666" s="74">
        <f>D667</f>
        <v>1786.1</v>
      </c>
      <c r="E666" s="74">
        <f>E667</f>
        <v>1786.1</v>
      </c>
      <c r="F666" s="72"/>
    </row>
    <row r="667" spans="1:6" ht="79.5" customHeight="1" x14ac:dyDescent="0.3">
      <c r="A667" s="12" t="s">
        <v>57</v>
      </c>
      <c r="B667" s="71" t="s">
        <v>447</v>
      </c>
      <c r="C667" s="11" t="s">
        <v>58</v>
      </c>
      <c r="D667" s="74">
        <f>'В-26,27'!G440</f>
        <v>1786.1</v>
      </c>
      <c r="E667" s="74">
        <f>'В-26,27'!H440</f>
        <v>1786.1</v>
      </c>
      <c r="F667" s="72"/>
    </row>
    <row r="668" spans="1:6" ht="37.5" hidden="1" x14ac:dyDescent="0.3">
      <c r="A668" s="2" t="s">
        <v>377</v>
      </c>
      <c r="B668" s="7" t="s">
        <v>523</v>
      </c>
      <c r="C668" s="11" t="s">
        <v>51</v>
      </c>
      <c r="D668" s="74">
        <f>D669</f>
        <v>0</v>
      </c>
      <c r="E668" s="74">
        <f>E669</f>
        <v>0</v>
      </c>
      <c r="F668" s="72"/>
    </row>
    <row r="669" spans="1:6" ht="75" hidden="1" x14ac:dyDescent="0.3">
      <c r="A669" s="12" t="s">
        <v>57</v>
      </c>
      <c r="B669" s="7" t="s">
        <v>523</v>
      </c>
      <c r="C669" s="11" t="s">
        <v>58</v>
      </c>
      <c r="D669" s="74">
        <f>'В-26,27'!G442</f>
        <v>0</v>
      </c>
      <c r="E669" s="74">
        <f>'В-26,27'!H442</f>
        <v>0</v>
      </c>
      <c r="F669" s="72"/>
    </row>
    <row r="670" spans="1:6" ht="18.75" x14ac:dyDescent="0.3">
      <c r="A670" s="12" t="s">
        <v>105</v>
      </c>
      <c r="B670" s="10" t="s">
        <v>37</v>
      </c>
      <c r="C670" s="10" t="s">
        <v>51</v>
      </c>
      <c r="D670" s="74">
        <f>D671+D672+D673</f>
        <v>43152.2</v>
      </c>
      <c r="E670" s="74">
        <f>E671+E672+E673</f>
        <v>43152.2</v>
      </c>
      <c r="F670" s="72"/>
    </row>
    <row r="671" spans="1:6" ht="75" x14ac:dyDescent="0.3">
      <c r="A671" s="12" t="s">
        <v>57</v>
      </c>
      <c r="B671" s="11" t="s">
        <v>37</v>
      </c>
      <c r="C671" s="11" t="s">
        <v>58</v>
      </c>
      <c r="D671" s="74">
        <f>'В-26,27'!G32+'В-26,27'!G342+'В-26,27'!G379+'В-26,27'!G462+'В-26,27'!G1177</f>
        <v>37745.699999999997</v>
      </c>
      <c r="E671" s="74">
        <f>'В-26,27'!H32+'В-26,27'!H342+'В-26,27'!H462+'В-26,27'!H1177</f>
        <v>37745.699999999997</v>
      </c>
      <c r="F671" s="75"/>
    </row>
    <row r="672" spans="1:6" ht="37.5" x14ac:dyDescent="0.3">
      <c r="A672" s="12" t="s">
        <v>433</v>
      </c>
      <c r="B672" s="11" t="s">
        <v>37</v>
      </c>
      <c r="C672" s="11" t="s">
        <v>60</v>
      </c>
      <c r="D672" s="74">
        <f>'В-26,27'!G33+'В-26,27'!G343+'В-26,27'!G463</f>
        <v>5378.5</v>
      </c>
      <c r="E672" s="74">
        <f>'В-26,27'!H33+'В-26,27'!H343+'В-26,27'!H463</f>
        <v>5378.5</v>
      </c>
      <c r="F672" s="72"/>
    </row>
    <row r="673" spans="1:6" ht="18.75" x14ac:dyDescent="0.3">
      <c r="A673" s="12" t="s">
        <v>61</v>
      </c>
      <c r="B673" s="11" t="s">
        <v>37</v>
      </c>
      <c r="C673" s="11" t="s">
        <v>62</v>
      </c>
      <c r="D673" s="74">
        <f>'В-26,27'!G465</f>
        <v>28</v>
      </c>
      <c r="E673" s="74">
        <f>'В-26,27'!H465</f>
        <v>28</v>
      </c>
      <c r="F673" s="72"/>
    </row>
    <row r="674" spans="1:6" ht="37.5" hidden="1" x14ac:dyDescent="0.3">
      <c r="A674" s="2" t="s">
        <v>377</v>
      </c>
      <c r="B674" s="11" t="s">
        <v>518</v>
      </c>
      <c r="C674" s="11" t="s">
        <v>51</v>
      </c>
      <c r="D674" s="74">
        <f>D675</f>
        <v>0</v>
      </c>
      <c r="E674" s="74">
        <f>E675</f>
        <v>0</v>
      </c>
      <c r="F674" s="72"/>
    </row>
    <row r="675" spans="1:6" ht="75" hidden="1" x14ac:dyDescent="0.3">
      <c r="A675" s="12" t="s">
        <v>57</v>
      </c>
      <c r="B675" s="11" t="s">
        <v>518</v>
      </c>
      <c r="C675" s="11" t="s">
        <v>58</v>
      </c>
      <c r="D675" s="74">
        <f>'В-26,27'!G35+'В-26,27'!G345+'В-26,27'!G467</f>
        <v>0</v>
      </c>
      <c r="E675" s="74">
        <f>'В-26,27'!H35+'В-26,27'!H345+'В-26,27'!H467</f>
        <v>0</v>
      </c>
      <c r="F675" s="72"/>
    </row>
    <row r="676" spans="1:6" ht="37.5" x14ac:dyDescent="0.3">
      <c r="A676" s="12" t="s">
        <v>182</v>
      </c>
      <c r="B676" s="10" t="s">
        <v>183</v>
      </c>
      <c r="C676" s="10" t="s">
        <v>51</v>
      </c>
      <c r="D676" s="74">
        <f>D677</f>
        <v>5794.7</v>
      </c>
      <c r="E676" s="74">
        <f>E677</f>
        <v>5794.7</v>
      </c>
      <c r="F676" s="72"/>
    </row>
    <row r="677" spans="1:6" ht="75" x14ac:dyDescent="0.3">
      <c r="A677" s="12" t="s">
        <v>57</v>
      </c>
      <c r="B677" s="10" t="s">
        <v>183</v>
      </c>
      <c r="C677" s="10" t="s">
        <v>58</v>
      </c>
      <c r="D677" s="74">
        <f>'В-26,27'!G347+'В-26,27'!G469+'В-26,27'!G1179</f>
        <v>5794.7</v>
      </c>
      <c r="E677" s="74">
        <f>'В-26,27'!H347+'В-26,27'!H469+'В-26,27'!H1179</f>
        <v>5794.7</v>
      </c>
      <c r="F677" s="72"/>
    </row>
    <row r="678" spans="1:6" ht="37.5" hidden="1" x14ac:dyDescent="0.3">
      <c r="A678" s="2" t="s">
        <v>377</v>
      </c>
      <c r="B678" s="11" t="s">
        <v>728</v>
      </c>
      <c r="C678" s="11" t="s">
        <v>51</v>
      </c>
      <c r="D678" s="74">
        <f>D679</f>
        <v>0</v>
      </c>
      <c r="E678" s="74">
        <f>E679</f>
        <v>0</v>
      </c>
      <c r="F678" s="72"/>
    </row>
    <row r="679" spans="1:6" ht="75" hidden="1" x14ac:dyDescent="0.3">
      <c r="A679" s="12" t="s">
        <v>57</v>
      </c>
      <c r="B679" s="11" t="s">
        <v>728</v>
      </c>
      <c r="C679" s="11" t="s">
        <v>58</v>
      </c>
      <c r="D679" s="74">
        <f>'В-26,27'!G349</f>
        <v>0</v>
      </c>
      <c r="E679" s="74">
        <f>'В-26,27'!H349</f>
        <v>0</v>
      </c>
      <c r="F679" s="72"/>
    </row>
    <row r="680" spans="1:6" ht="18.75" hidden="1" x14ac:dyDescent="0.3">
      <c r="A680" s="33" t="s">
        <v>63</v>
      </c>
      <c r="B680" s="11" t="s">
        <v>352</v>
      </c>
      <c r="C680" s="11" t="s">
        <v>51</v>
      </c>
      <c r="D680" s="74">
        <f>D681+D684</f>
        <v>0</v>
      </c>
      <c r="E680" s="74">
        <f>E681</f>
        <v>0</v>
      </c>
      <c r="F680" s="72"/>
    </row>
    <row r="681" spans="1:6" ht="18.75" hidden="1" x14ac:dyDescent="0.3">
      <c r="A681" s="12" t="s">
        <v>229</v>
      </c>
      <c r="B681" s="10" t="s">
        <v>230</v>
      </c>
      <c r="C681" s="10" t="s">
        <v>51</v>
      </c>
      <c r="D681" s="74">
        <f>D682+D683</f>
        <v>0</v>
      </c>
      <c r="E681" s="74">
        <f>E682</f>
        <v>0</v>
      </c>
      <c r="F681" s="72"/>
    </row>
    <row r="682" spans="1:6" ht="18.75" hidden="1" x14ac:dyDescent="0.3">
      <c r="A682" s="12" t="s">
        <v>61</v>
      </c>
      <c r="B682" s="10" t="s">
        <v>230</v>
      </c>
      <c r="C682" s="10" t="s">
        <v>62</v>
      </c>
      <c r="D682" s="74">
        <f>'В-26,27'!G527</f>
        <v>0</v>
      </c>
      <c r="E682" s="74">
        <f>'В-26,27'!H527</f>
        <v>0</v>
      </c>
      <c r="F682" s="72"/>
    </row>
    <row r="683" spans="1:6" ht="18.75" hidden="1" outlineLevel="1" x14ac:dyDescent="0.3">
      <c r="A683" s="12" t="s">
        <v>61</v>
      </c>
      <c r="B683" s="10" t="s">
        <v>230</v>
      </c>
      <c r="C683" s="10" t="s">
        <v>62</v>
      </c>
      <c r="D683" s="74">
        <f>'[2]В-21'!G399</f>
        <v>0</v>
      </c>
      <c r="E683" s="74">
        <f>'[2]В-21'!H399</f>
        <v>0</v>
      </c>
      <c r="F683" s="72"/>
    </row>
    <row r="684" spans="1:6" ht="37.5" hidden="1" x14ac:dyDescent="0.3">
      <c r="A684" s="33" t="s">
        <v>441</v>
      </c>
      <c r="B684" s="11" t="s">
        <v>442</v>
      </c>
      <c r="C684" s="10" t="s">
        <v>51</v>
      </c>
      <c r="D684" s="74">
        <f>D685</f>
        <v>0</v>
      </c>
      <c r="E684" s="74">
        <f>E685</f>
        <v>0</v>
      </c>
      <c r="F684" s="72"/>
    </row>
    <row r="685" spans="1:6" ht="37.5" hidden="1" x14ac:dyDescent="0.3">
      <c r="A685" s="12" t="s">
        <v>433</v>
      </c>
      <c r="B685" s="11" t="s">
        <v>442</v>
      </c>
      <c r="C685" s="10" t="s">
        <v>60</v>
      </c>
      <c r="D685" s="74">
        <f>'В-26,27'!G367</f>
        <v>0</v>
      </c>
      <c r="E685" s="74">
        <f>'В-26,27'!H367</f>
        <v>0</v>
      </c>
      <c r="F685" s="72"/>
    </row>
    <row r="686" spans="1:6" ht="56.25" x14ac:dyDescent="0.3">
      <c r="A686" s="12" t="s">
        <v>252</v>
      </c>
      <c r="B686" s="11" t="s">
        <v>804</v>
      </c>
      <c r="C686" s="29" t="s">
        <v>51</v>
      </c>
      <c r="D686" s="74">
        <f>D687</f>
        <v>79.900000000000006</v>
      </c>
      <c r="E686" s="74">
        <f>E687</f>
        <v>79.900000000000006</v>
      </c>
      <c r="F686" s="72"/>
    </row>
    <row r="687" spans="1:6" ht="75" x14ac:dyDescent="0.3">
      <c r="A687" s="12" t="s">
        <v>445</v>
      </c>
      <c r="B687" s="11" t="s">
        <v>805</v>
      </c>
      <c r="C687" s="29" t="s">
        <v>51</v>
      </c>
      <c r="D687" s="74">
        <f>D688</f>
        <v>79.900000000000006</v>
      </c>
      <c r="E687" s="74">
        <f>E688</f>
        <v>79.900000000000006</v>
      </c>
      <c r="F687" s="72"/>
    </row>
    <row r="688" spans="1:6" ht="37.5" x14ac:dyDescent="0.3">
      <c r="A688" s="12" t="s">
        <v>433</v>
      </c>
      <c r="B688" s="11" t="s">
        <v>805</v>
      </c>
      <c r="C688" s="11" t="s">
        <v>60</v>
      </c>
      <c r="D688" s="74">
        <f>'В-26,27'!G370+'В-26,27'!G1017</f>
        <v>79.900000000000006</v>
      </c>
      <c r="E688" s="74">
        <f>'В-26,27'!H370+'В-26,27'!H1017</f>
        <v>79.900000000000006</v>
      </c>
      <c r="F688" s="72"/>
    </row>
    <row r="689" spans="1:6" ht="75" x14ac:dyDescent="0.3">
      <c r="A689" s="12" t="s">
        <v>446</v>
      </c>
      <c r="B689" s="11" t="s">
        <v>806</v>
      </c>
      <c r="C689" s="11" t="s">
        <v>51</v>
      </c>
      <c r="D689" s="74">
        <f>D690</f>
        <v>1</v>
      </c>
      <c r="E689" s="74">
        <f>E690</f>
        <v>1</v>
      </c>
      <c r="F689" s="72"/>
    </row>
    <row r="690" spans="1:6" ht="37.5" x14ac:dyDescent="0.3">
      <c r="A690" s="12" t="s">
        <v>433</v>
      </c>
      <c r="B690" s="11" t="s">
        <v>806</v>
      </c>
      <c r="C690" s="11" t="s">
        <v>60</v>
      </c>
      <c r="D690" s="74">
        <f>'В-26,27'!G372+'В-26,27'!G1019</f>
        <v>1</v>
      </c>
      <c r="E690" s="74">
        <f>'В-26,27'!H372+'В-26,27'!H1019</f>
        <v>1</v>
      </c>
      <c r="F690" s="72"/>
    </row>
    <row r="691" spans="1:6" ht="18.75" x14ac:dyDescent="0.3">
      <c r="A691" s="33" t="s">
        <v>742</v>
      </c>
      <c r="B691" s="29" t="s">
        <v>743</v>
      </c>
      <c r="C691" s="29" t="s">
        <v>51</v>
      </c>
      <c r="D691" s="74">
        <f>D692</f>
        <v>11179.2</v>
      </c>
      <c r="E691" s="74">
        <f>E692</f>
        <v>23426.2</v>
      </c>
      <c r="F691" s="72"/>
    </row>
    <row r="692" spans="1:6" ht="18.75" x14ac:dyDescent="0.3">
      <c r="A692" s="33" t="s">
        <v>61</v>
      </c>
      <c r="B692" s="29" t="s">
        <v>743</v>
      </c>
      <c r="C692" s="29" t="s">
        <v>62</v>
      </c>
      <c r="D692" s="74">
        <f>'В-26,27'!G358</f>
        <v>11179.2</v>
      </c>
      <c r="E692" s="74">
        <f>'В-26,27'!H358</f>
        <v>23426.2</v>
      </c>
      <c r="F692" s="72"/>
    </row>
    <row r="693" spans="1:6" ht="19.5" x14ac:dyDescent="0.35">
      <c r="A693" s="66" t="s">
        <v>417</v>
      </c>
      <c r="B693" s="65" t="s">
        <v>19</v>
      </c>
      <c r="C693" s="49" t="s">
        <v>51</v>
      </c>
      <c r="D693" s="94">
        <f>D694+D711+D713+D716+D718+D721+D702+D723+D725+D707</f>
        <v>25741.61</v>
      </c>
      <c r="E693" s="94">
        <f>E694+E711+E713+E716+E718+E721</f>
        <v>24701.559999999998</v>
      </c>
      <c r="F693" s="94">
        <f t="shared" ref="F693" si="10">F694+F711+F713+F716+F718+F721+F702+F723+F725+F707</f>
        <v>0</v>
      </c>
    </row>
    <row r="694" spans="1:6" ht="37.5" customHeight="1" x14ac:dyDescent="0.3">
      <c r="A694" s="12" t="s">
        <v>53</v>
      </c>
      <c r="B694" s="10" t="s">
        <v>232</v>
      </c>
      <c r="C694" s="10" t="s">
        <v>51</v>
      </c>
      <c r="D694" s="74">
        <f>D695+D699</f>
        <v>8212.7000000000007</v>
      </c>
      <c r="E694" s="74">
        <f>E695</f>
        <v>11682.9</v>
      </c>
      <c r="F694" s="72"/>
    </row>
    <row r="695" spans="1:6" ht="24.75" customHeight="1" x14ac:dyDescent="0.3">
      <c r="A695" s="12" t="s">
        <v>231</v>
      </c>
      <c r="B695" s="10" t="s">
        <v>233</v>
      </c>
      <c r="C695" s="10" t="s">
        <v>51</v>
      </c>
      <c r="D695" s="74">
        <f>D696+D697+D698</f>
        <v>8212.7000000000007</v>
      </c>
      <c r="E695" s="74">
        <f>E696+E697+E698</f>
        <v>11682.9</v>
      </c>
      <c r="F695" s="72"/>
    </row>
    <row r="696" spans="1:6" ht="75" x14ac:dyDescent="0.3">
      <c r="A696" s="12" t="s">
        <v>57</v>
      </c>
      <c r="B696" s="10" t="s">
        <v>233</v>
      </c>
      <c r="C696" s="10" t="s">
        <v>58</v>
      </c>
      <c r="D696" s="74">
        <f>'В-26,27'!G531</f>
        <v>5107</v>
      </c>
      <c r="E696" s="74">
        <f>'В-26,27'!H531</f>
        <v>5107</v>
      </c>
      <c r="F696" s="72"/>
    </row>
    <row r="697" spans="1:6" ht="37.5" x14ac:dyDescent="0.3">
      <c r="A697" s="12" t="s">
        <v>433</v>
      </c>
      <c r="B697" s="10" t="s">
        <v>233</v>
      </c>
      <c r="C697" s="10" t="s">
        <v>60</v>
      </c>
      <c r="D697" s="74">
        <f>'В-26,27'!G532</f>
        <v>3105.7</v>
      </c>
      <c r="E697" s="74">
        <f>'В-26,27'!H532</f>
        <v>6575.9</v>
      </c>
      <c r="F697" s="72"/>
    </row>
    <row r="698" spans="1:6" ht="18.75" hidden="1" x14ac:dyDescent="0.3">
      <c r="A698" s="12" t="s">
        <v>61</v>
      </c>
      <c r="B698" s="10" t="s">
        <v>233</v>
      </c>
      <c r="C698" s="10" t="s">
        <v>62</v>
      </c>
      <c r="D698" s="74">
        <f>'В-26,27'!G533</f>
        <v>0</v>
      </c>
      <c r="E698" s="74">
        <f>'В-26,27'!H533</f>
        <v>0</v>
      </c>
      <c r="F698" s="72"/>
    </row>
    <row r="699" spans="1:6" ht="27" hidden="1" customHeight="1" x14ac:dyDescent="0.3">
      <c r="A699" s="2" t="s">
        <v>377</v>
      </c>
      <c r="B699" s="10" t="s">
        <v>376</v>
      </c>
      <c r="C699" s="10" t="s">
        <v>51</v>
      </c>
      <c r="D699" s="74">
        <f>D701+D700</f>
        <v>0</v>
      </c>
      <c r="E699" s="74">
        <f>E701+E700</f>
        <v>0</v>
      </c>
      <c r="F699" s="72"/>
    </row>
    <row r="700" spans="1:6" ht="77.25" hidden="1" customHeight="1" x14ac:dyDescent="0.3">
      <c r="A700" s="12" t="s">
        <v>57</v>
      </c>
      <c r="B700" s="10" t="s">
        <v>376</v>
      </c>
      <c r="C700" s="10" t="s">
        <v>58</v>
      </c>
      <c r="D700" s="74">
        <f>'В-26,27'!G535</f>
        <v>0</v>
      </c>
      <c r="E700" s="74">
        <f>'В-26,27'!H535</f>
        <v>0</v>
      </c>
      <c r="F700" s="72"/>
    </row>
    <row r="701" spans="1:6" ht="18.75" hidden="1" x14ac:dyDescent="0.3">
      <c r="A701" s="12" t="s">
        <v>61</v>
      </c>
      <c r="B701" s="10" t="s">
        <v>376</v>
      </c>
      <c r="C701" s="10" t="s">
        <v>62</v>
      </c>
      <c r="D701" s="74">
        <f>'[2]В-21'!G408</f>
        <v>0</v>
      </c>
      <c r="E701" s="74">
        <f>'[2]В-21'!H408</f>
        <v>0</v>
      </c>
      <c r="F701" s="72"/>
    </row>
    <row r="702" spans="1:6" ht="18.75" hidden="1" x14ac:dyDescent="0.3">
      <c r="A702" s="33" t="s">
        <v>63</v>
      </c>
      <c r="B702" s="10" t="s">
        <v>396</v>
      </c>
      <c r="C702" s="10" t="s">
        <v>51</v>
      </c>
      <c r="D702" s="74">
        <f>D705</f>
        <v>0</v>
      </c>
      <c r="E702" s="74">
        <f>E705</f>
        <v>0</v>
      </c>
      <c r="F702" s="72"/>
    </row>
    <row r="703" spans="1:6" ht="18.75" hidden="1" x14ac:dyDescent="0.3">
      <c r="A703" s="18" t="s">
        <v>397</v>
      </c>
      <c r="B703" s="10" t="s">
        <v>398</v>
      </c>
      <c r="C703" s="10" t="s">
        <v>51</v>
      </c>
      <c r="D703" s="74">
        <f>D704</f>
        <v>0</v>
      </c>
      <c r="E703" s="74">
        <f>E704</f>
        <v>0</v>
      </c>
      <c r="F703" s="72"/>
    </row>
    <row r="704" spans="1:6" ht="37.5" hidden="1" x14ac:dyDescent="0.3">
      <c r="A704" s="12" t="s">
        <v>433</v>
      </c>
      <c r="B704" s="10" t="s">
        <v>398</v>
      </c>
      <c r="C704" s="10" t="s">
        <v>60</v>
      </c>
      <c r="D704" s="74"/>
      <c r="E704" s="74"/>
      <c r="F704" s="72"/>
    </row>
    <row r="705" spans="1:6" ht="37.5" hidden="1" x14ac:dyDescent="0.3">
      <c r="A705" s="2" t="s">
        <v>673</v>
      </c>
      <c r="B705" s="11" t="s">
        <v>442</v>
      </c>
      <c r="C705" s="11" t="s">
        <v>51</v>
      </c>
      <c r="D705" s="74">
        <f>D706</f>
        <v>0</v>
      </c>
      <c r="E705" s="74">
        <f>E706</f>
        <v>0</v>
      </c>
      <c r="F705" s="72"/>
    </row>
    <row r="706" spans="1:6" ht="37.5" hidden="1" x14ac:dyDescent="0.3">
      <c r="A706" s="12" t="s">
        <v>433</v>
      </c>
      <c r="B706" s="11" t="s">
        <v>442</v>
      </c>
      <c r="C706" s="11" t="s">
        <v>60</v>
      </c>
      <c r="D706" s="74">
        <v>0</v>
      </c>
      <c r="E706" s="74">
        <v>0</v>
      </c>
      <c r="F706" s="72"/>
    </row>
    <row r="707" spans="1:6" ht="18.75" hidden="1" x14ac:dyDescent="0.3">
      <c r="A707" s="12" t="s">
        <v>531</v>
      </c>
      <c r="B707" s="14" t="s">
        <v>532</v>
      </c>
      <c r="C707" s="14" t="s">
        <v>51</v>
      </c>
      <c r="D707" s="74">
        <f>D708</f>
        <v>0</v>
      </c>
      <c r="E707" s="74">
        <f>E708</f>
        <v>-478.33600000000001</v>
      </c>
      <c r="F707" s="72"/>
    </row>
    <row r="708" spans="1:6" ht="37.5" hidden="1" x14ac:dyDescent="0.3">
      <c r="A708" s="12" t="s">
        <v>533</v>
      </c>
      <c r="B708" s="14" t="s">
        <v>534</v>
      </c>
      <c r="C708" s="14" t="s">
        <v>51</v>
      </c>
      <c r="D708" s="74">
        <f>D709+D710</f>
        <v>0</v>
      </c>
      <c r="E708" s="74">
        <f>E709+E710</f>
        <v>-478.33600000000001</v>
      </c>
      <c r="F708" s="72"/>
    </row>
    <row r="709" spans="1:6" ht="37.5" hidden="1" x14ac:dyDescent="0.3">
      <c r="A709" s="12" t="s">
        <v>433</v>
      </c>
      <c r="B709" s="14" t="s">
        <v>534</v>
      </c>
      <c r="C709" s="14" t="s">
        <v>60</v>
      </c>
      <c r="D709" s="74">
        <f>'В-26,27'!G482</f>
        <v>0</v>
      </c>
      <c r="E709" s="74">
        <f>'В-26,27'!H482</f>
        <v>-478.33600000000001</v>
      </c>
      <c r="F709" s="72"/>
    </row>
    <row r="710" spans="1:6" ht="18.75" hidden="1" x14ac:dyDescent="0.3">
      <c r="A710" s="12" t="s">
        <v>61</v>
      </c>
      <c r="B710" s="14" t="s">
        <v>534</v>
      </c>
      <c r="C710" s="14" t="s">
        <v>62</v>
      </c>
      <c r="D710" s="74">
        <f>'В-26,27'!G483</f>
        <v>0</v>
      </c>
      <c r="E710" s="74">
        <f>'В-26,27'!H483</f>
        <v>0</v>
      </c>
      <c r="F710" s="72"/>
    </row>
    <row r="711" spans="1:6" ht="18.75" x14ac:dyDescent="0.3">
      <c r="A711" s="12" t="s">
        <v>190</v>
      </c>
      <c r="B711" s="10" t="s">
        <v>194</v>
      </c>
      <c r="C711" s="10" t="s">
        <v>51</v>
      </c>
      <c r="D711" s="74">
        <f>D712</f>
        <v>17367.900000000001</v>
      </c>
      <c r="E711" s="74">
        <f>E712</f>
        <v>12867.9</v>
      </c>
      <c r="F711" s="72"/>
    </row>
    <row r="712" spans="1:6" ht="18.75" x14ac:dyDescent="0.3">
      <c r="A712" s="12" t="s">
        <v>192</v>
      </c>
      <c r="B712" s="10" t="s">
        <v>194</v>
      </c>
      <c r="C712" s="10" t="s">
        <v>193</v>
      </c>
      <c r="D712" s="74">
        <f>'В-26,27'!G1241</f>
        <v>17367.900000000001</v>
      </c>
      <c r="E712" s="74">
        <f>'В-26,27'!H1241</f>
        <v>12867.9</v>
      </c>
      <c r="F712" s="72"/>
    </row>
    <row r="713" spans="1:6" ht="18.75" x14ac:dyDescent="0.3">
      <c r="A713" s="12" t="s">
        <v>186</v>
      </c>
      <c r="B713" s="11" t="s">
        <v>187</v>
      </c>
      <c r="C713" s="11" t="s">
        <v>51</v>
      </c>
      <c r="D713" s="74">
        <f>D715+D714</f>
        <v>100</v>
      </c>
      <c r="E713" s="74">
        <f>E715</f>
        <v>100</v>
      </c>
      <c r="F713" s="72"/>
    </row>
    <row r="714" spans="1:6" ht="18.75" hidden="1" x14ac:dyDescent="0.3">
      <c r="A714" s="12" t="s">
        <v>176</v>
      </c>
      <c r="B714" s="11" t="s">
        <v>187</v>
      </c>
      <c r="C714" s="11" t="s">
        <v>177</v>
      </c>
      <c r="D714" s="74">
        <f>'[2]В-21'!G785</f>
        <v>0</v>
      </c>
      <c r="E714" s="74">
        <f>'[2]В-21'!H785</f>
        <v>0</v>
      </c>
      <c r="F714" s="72"/>
    </row>
    <row r="715" spans="1:6" ht="18.75" x14ac:dyDescent="0.3">
      <c r="A715" s="12" t="s">
        <v>61</v>
      </c>
      <c r="B715" s="11" t="s">
        <v>187</v>
      </c>
      <c r="C715" s="11" t="s">
        <v>62</v>
      </c>
      <c r="D715" s="74">
        <f>'В-26,27'!G354</f>
        <v>100</v>
      </c>
      <c r="E715" s="74">
        <f>'В-26,27'!H354</f>
        <v>100</v>
      </c>
      <c r="F715" s="72"/>
    </row>
    <row r="716" spans="1:6" ht="18.75" hidden="1" x14ac:dyDescent="0.3">
      <c r="A716" s="12" t="s">
        <v>319</v>
      </c>
      <c r="B716" s="10" t="s">
        <v>320</v>
      </c>
      <c r="C716" s="10" t="s">
        <v>51</v>
      </c>
      <c r="D716" s="74">
        <f>D717</f>
        <v>0</v>
      </c>
      <c r="E716" s="74">
        <f>E717</f>
        <v>0</v>
      </c>
      <c r="F716" s="72"/>
    </row>
    <row r="717" spans="1:6" ht="18.75" hidden="1" x14ac:dyDescent="0.3">
      <c r="A717" s="12" t="s">
        <v>176</v>
      </c>
      <c r="B717" s="10" t="s">
        <v>320</v>
      </c>
      <c r="C717" s="10" t="s">
        <v>177</v>
      </c>
      <c r="D717" s="74">
        <f>'В-26,27'!G1119</f>
        <v>0</v>
      </c>
      <c r="E717" s="74">
        <f>'В-26,27'!H1119</f>
        <v>0</v>
      </c>
      <c r="F717" s="72"/>
    </row>
    <row r="718" spans="1:6" ht="56.25" x14ac:dyDescent="0.3">
      <c r="A718" s="12" t="s">
        <v>174</v>
      </c>
      <c r="B718" s="10" t="s">
        <v>807</v>
      </c>
      <c r="C718" s="10" t="s">
        <v>51</v>
      </c>
      <c r="D718" s="74">
        <f>D719</f>
        <v>41.1</v>
      </c>
      <c r="E718" s="74">
        <f>E719</f>
        <v>41.1</v>
      </c>
      <c r="F718" s="72"/>
    </row>
    <row r="719" spans="1:6" ht="37.5" x14ac:dyDescent="0.3">
      <c r="A719" s="12" t="s">
        <v>234</v>
      </c>
      <c r="B719" s="10" t="s">
        <v>792</v>
      </c>
      <c r="C719" s="10" t="s">
        <v>51</v>
      </c>
      <c r="D719" s="74">
        <f>D720</f>
        <v>41.1</v>
      </c>
      <c r="E719" s="74">
        <f>E720</f>
        <v>41.1</v>
      </c>
      <c r="F719" s="72"/>
    </row>
    <row r="720" spans="1:6" ht="39.75" customHeight="1" x14ac:dyDescent="0.3">
      <c r="A720" s="12" t="s">
        <v>433</v>
      </c>
      <c r="B720" s="10" t="s">
        <v>792</v>
      </c>
      <c r="C720" s="10" t="s">
        <v>60</v>
      </c>
      <c r="D720" s="74">
        <f>'В-26,27'!G542</f>
        <v>41.1</v>
      </c>
      <c r="E720" s="74">
        <f>'В-26,27'!H542</f>
        <v>41.1</v>
      </c>
      <c r="F720" s="72"/>
    </row>
    <row r="721" spans="1:6" ht="75" x14ac:dyDescent="0.3">
      <c r="A721" s="44" t="s">
        <v>212</v>
      </c>
      <c r="B721" s="14" t="s">
        <v>789</v>
      </c>
      <c r="C721" s="14" t="s">
        <v>51</v>
      </c>
      <c r="D721" s="74">
        <f>D722</f>
        <v>19.91</v>
      </c>
      <c r="E721" s="74">
        <f>E722</f>
        <v>9.66</v>
      </c>
      <c r="F721" s="72"/>
    </row>
    <row r="722" spans="1:6" ht="37.5" x14ac:dyDescent="0.3">
      <c r="A722" s="12" t="s">
        <v>433</v>
      </c>
      <c r="B722" s="14" t="s">
        <v>789</v>
      </c>
      <c r="C722" s="14" t="s">
        <v>60</v>
      </c>
      <c r="D722" s="74">
        <f>'В-26,27'!G476</f>
        <v>19.91</v>
      </c>
      <c r="E722" s="74">
        <f>'В-26,27'!H476</f>
        <v>9.66</v>
      </c>
      <c r="F722" s="72"/>
    </row>
    <row r="723" spans="1:6" ht="18.75" x14ac:dyDescent="0.3">
      <c r="A723" s="12" t="s">
        <v>460</v>
      </c>
      <c r="B723" s="10" t="s">
        <v>461</v>
      </c>
      <c r="C723" s="10" t="s">
        <v>51</v>
      </c>
      <c r="D723" s="74">
        <f>D724</f>
        <v>0</v>
      </c>
      <c r="E723" s="74">
        <f>E724</f>
        <v>0</v>
      </c>
      <c r="F723" s="72"/>
    </row>
    <row r="724" spans="1:6" ht="37.5" hidden="1" x14ac:dyDescent="0.3">
      <c r="A724" s="12" t="s">
        <v>433</v>
      </c>
      <c r="B724" s="10" t="s">
        <v>461</v>
      </c>
      <c r="C724" s="10" t="s">
        <v>60</v>
      </c>
      <c r="D724" s="74">
        <f>'В-26,27'!G544</f>
        <v>0</v>
      </c>
      <c r="E724" s="74">
        <f>'В-26,27'!H544</f>
        <v>0</v>
      </c>
      <c r="F724" s="72"/>
    </row>
    <row r="725" spans="1:6" ht="75" hidden="1" x14ac:dyDescent="0.3">
      <c r="A725" s="12" t="s">
        <v>496</v>
      </c>
      <c r="B725" s="10" t="s">
        <v>497</v>
      </c>
      <c r="C725" s="10" t="s">
        <v>51</v>
      </c>
      <c r="D725" s="74">
        <f>D726</f>
        <v>0</v>
      </c>
      <c r="E725" s="74">
        <f>E726</f>
        <v>0</v>
      </c>
      <c r="F725" s="72"/>
    </row>
    <row r="726" spans="1:6" ht="37.5" hidden="1" x14ac:dyDescent="0.3">
      <c r="A726" s="12" t="s">
        <v>433</v>
      </c>
      <c r="B726" s="10" t="s">
        <v>497</v>
      </c>
      <c r="C726" s="10" t="s">
        <v>60</v>
      </c>
      <c r="D726" s="74">
        <v>0</v>
      </c>
      <c r="E726" s="74">
        <v>0</v>
      </c>
      <c r="F726" s="72"/>
    </row>
    <row r="727" spans="1:6" ht="56.25" hidden="1" x14ac:dyDescent="0.3">
      <c r="A727" s="5" t="s">
        <v>20</v>
      </c>
      <c r="B727" s="15" t="s">
        <v>21</v>
      </c>
      <c r="C727" s="8" t="s">
        <v>51</v>
      </c>
      <c r="D727" s="93">
        <f>D728+D736+D748</f>
        <v>0</v>
      </c>
      <c r="E727" s="93">
        <f>E736+E748</f>
        <v>0</v>
      </c>
      <c r="F727" s="73"/>
    </row>
    <row r="728" spans="1:6" ht="58.5" hidden="1" x14ac:dyDescent="0.35">
      <c r="A728" s="53" t="s">
        <v>22</v>
      </c>
      <c r="B728" s="49" t="s">
        <v>23</v>
      </c>
      <c r="C728" s="50" t="s">
        <v>51</v>
      </c>
      <c r="D728" s="94">
        <f>D729+D733</f>
        <v>0</v>
      </c>
      <c r="E728" s="94">
        <f>E729+E733</f>
        <v>0</v>
      </c>
      <c r="F728" s="72"/>
    </row>
    <row r="729" spans="1:6" ht="18.75" hidden="1" x14ac:dyDescent="0.3">
      <c r="A729" s="12" t="s">
        <v>63</v>
      </c>
      <c r="B729" s="10" t="s">
        <v>224</v>
      </c>
      <c r="C729" s="10" t="s">
        <v>51</v>
      </c>
      <c r="D729" s="74">
        <f>D730</f>
        <v>0</v>
      </c>
      <c r="E729" s="74">
        <f>E730</f>
        <v>0</v>
      </c>
      <c r="F729" s="72"/>
    </row>
    <row r="730" spans="1:6" ht="18.75" hidden="1" x14ac:dyDescent="0.3">
      <c r="A730" s="12" t="s">
        <v>223</v>
      </c>
      <c r="B730" s="10" t="s">
        <v>225</v>
      </c>
      <c r="C730" s="10" t="s">
        <v>51</v>
      </c>
      <c r="D730" s="74">
        <f>D731+D732</f>
        <v>0</v>
      </c>
      <c r="E730" s="74">
        <f>E731+E732</f>
        <v>0</v>
      </c>
      <c r="F730" s="72"/>
    </row>
    <row r="731" spans="1:6" ht="37.5" hidden="1" x14ac:dyDescent="0.3">
      <c r="A731" s="12" t="s">
        <v>433</v>
      </c>
      <c r="B731" s="10" t="s">
        <v>225</v>
      </c>
      <c r="C731" s="10" t="s">
        <v>60</v>
      </c>
      <c r="D731" s="74">
        <f>'В-26,27'!G552+'В-26,27'!G549</f>
        <v>0</v>
      </c>
      <c r="E731" s="74">
        <f>'В-26,27'!H552+'В-26,27'!H549</f>
        <v>0</v>
      </c>
      <c r="F731" s="72"/>
    </row>
    <row r="732" spans="1:6" ht="18.75" hidden="1" x14ac:dyDescent="0.3">
      <c r="A732" s="12" t="s">
        <v>61</v>
      </c>
      <c r="B732" s="10" t="s">
        <v>225</v>
      </c>
      <c r="C732" s="10" t="s">
        <v>62</v>
      </c>
      <c r="D732" s="74">
        <f>'В-26,27'!G553+'В-26,27'!G550</f>
        <v>0</v>
      </c>
      <c r="E732" s="74">
        <f>'В-26,27'!H553+'В-26,27'!H550</f>
        <v>0</v>
      </c>
      <c r="F732" s="72"/>
    </row>
    <row r="733" spans="1:6" ht="64.5" hidden="1" customHeight="1" x14ac:dyDescent="0.3">
      <c r="A733" s="70" t="s">
        <v>456</v>
      </c>
      <c r="B733" s="11" t="s">
        <v>457</v>
      </c>
      <c r="C733" s="10" t="s">
        <v>51</v>
      </c>
      <c r="D733" s="74">
        <f>D734+D735</f>
        <v>0</v>
      </c>
      <c r="E733" s="74">
        <f>E734+E735</f>
        <v>0</v>
      </c>
      <c r="F733" s="72"/>
    </row>
    <row r="734" spans="1:6" ht="37.5" hidden="1" x14ac:dyDescent="0.3">
      <c r="A734" s="12" t="s">
        <v>433</v>
      </c>
      <c r="B734" s="11" t="s">
        <v>457</v>
      </c>
      <c r="C734" s="10" t="s">
        <v>60</v>
      </c>
      <c r="D734" s="74">
        <f>'[2]В-21'!G424</f>
        <v>0</v>
      </c>
      <c r="E734" s="74">
        <f>'[2]В-21'!H424</f>
        <v>0</v>
      </c>
      <c r="F734" s="72"/>
    </row>
    <row r="735" spans="1:6" ht="33" hidden="1" customHeight="1" x14ac:dyDescent="0.3">
      <c r="A735" s="12" t="s">
        <v>61</v>
      </c>
      <c r="B735" s="11" t="s">
        <v>457</v>
      </c>
      <c r="C735" s="10" t="s">
        <v>62</v>
      </c>
      <c r="D735" s="74">
        <f>'[2]В-21'!G425</f>
        <v>0</v>
      </c>
      <c r="E735" s="74">
        <f>'[2]В-21'!H425</f>
        <v>0</v>
      </c>
      <c r="F735" s="72"/>
    </row>
    <row r="736" spans="1:6" ht="30.75" hidden="1" customHeight="1" x14ac:dyDescent="0.35">
      <c r="A736" s="56" t="s">
        <v>24</v>
      </c>
      <c r="B736" s="49" t="s">
        <v>454</v>
      </c>
      <c r="C736" s="50" t="s">
        <v>51</v>
      </c>
      <c r="D736" s="94">
        <f>D737+D740+D743+D745</f>
        <v>0</v>
      </c>
      <c r="E736" s="94">
        <f>E737+E740+E743+E745</f>
        <v>0</v>
      </c>
      <c r="F736" s="72"/>
    </row>
    <row r="737" spans="1:6" ht="18.75" hidden="1" x14ac:dyDescent="0.3">
      <c r="A737" s="12" t="s">
        <v>63</v>
      </c>
      <c r="B737" s="10" t="s">
        <v>453</v>
      </c>
      <c r="C737" s="10" t="s">
        <v>51</v>
      </c>
      <c r="D737" s="74">
        <f>D738</f>
        <v>0</v>
      </c>
      <c r="E737" s="74">
        <f>E738</f>
        <v>0</v>
      </c>
      <c r="F737" s="72"/>
    </row>
    <row r="738" spans="1:6" ht="18.75" hidden="1" x14ac:dyDescent="0.3">
      <c r="A738" s="12" t="s">
        <v>223</v>
      </c>
      <c r="B738" s="10" t="s">
        <v>455</v>
      </c>
      <c r="C738" s="10" t="s">
        <v>51</v>
      </c>
      <c r="D738" s="74">
        <f>D739+D746</f>
        <v>0</v>
      </c>
      <c r="E738" s="74">
        <f>E739+E746</f>
        <v>0</v>
      </c>
      <c r="F738" s="72"/>
    </row>
    <row r="739" spans="1:6" ht="37.5" hidden="1" x14ac:dyDescent="0.3">
      <c r="A739" s="12" t="s">
        <v>433</v>
      </c>
      <c r="B739" s="10" t="s">
        <v>455</v>
      </c>
      <c r="C739" s="10" t="s">
        <v>60</v>
      </c>
      <c r="D739" s="74">
        <f>'В-26,27'!G767</f>
        <v>0</v>
      </c>
      <c r="E739" s="74">
        <f>'В-26,27'!H767</f>
        <v>0</v>
      </c>
      <c r="F739" s="72"/>
    </row>
    <row r="740" spans="1:6" ht="56.25" hidden="1" x14ac:dyDescent="0.3">
      <c r="A740" s="69" t="s">
        <v>501</v>
      </c>
      <c r="B740" s="11" t="s">
        <v>712</v>
      </c>
      <c r="C740" s="10" t="s">
        <v>51</v>
      </c>
      <c r="D740" s="74">
        <f>D741</f>
        <v>0</v>
      </c>
      <c r="E740" s="74">
        <f>E741</f>
        <v>0</v>
      </c>
      <c r="F740" s="72"/>
    </row>
    <row r="741" spans="1:6" ht="18.75" hidden="1" x14ac:dyDescent="0.3">
      <c r="A741" s="12" t="s">
        <v>61</v>
      </c>
      <c r="B741" s="11" t="s">
        <v>712</v>
      </c>
      <c r="C741" s="10" t="s">
        <v>62</v>
      </c>
      <c r="D741" s="74">
        <f>'В-26,27'!G560</f>
        <v>0</v>
      </c>
      <c r="E741" s="74">
        <f>'В-26,27'!H560</f>
        <v>0</v>
      </c>
      <c r="F741" s="72"/>
    </row>
    <row r="742" spans="1:6" ht="18.75" hidden="1" x14ac:dyDescent="0.3">
      <c r="A742" s="12" t="s">
        <v>536</v>
      </c>
      <c r="B742" s="10" t="s">
        <v>802</v>
      </c>
      <c r="C742" s="91" t="s">
        <v>51</v>
      </c>
      <c r="D742" s="74">
        <f>D743</f>
        <v>0</v>
      </c>
      <c r="E742" s="74">
        <f>E743</f>
        <v>0</v>
      </c>
      <c r="F742" s="72"/>
    </row>
    <row r="743" spans="1:6" ht="37.5" hidden="1" x14ac:dyDescent="0.3">
      <c r="A743" s="12" t="s">
        <v>433</v>
      </c>
      <c r="B743" s="10" t="s">
        <v>802</v>
      </c>
      <c r="C743" s="91" t="s">
        <v>60</v>
      </c>
      <c r="D743" s="74">
        <f>'В-26,27'!G784</f>
        <v>0</v>
      </c>
      <c r="E743" s="74">
        <f>'В-26,27'!H784</f>
        <v>0</v>
      </c>
      <c r="F743" s="72"/>
    </row>
    <row r="744" spans="1:6" ht="18.75" hidden="1" x14ac:dyDescent="0.3">
      <c r="A744" s="12" t="s">
        <v>536</v>
      </c>
      <c r="B744" s="10" t="s">
        <v>803</v>
      </c>
      <c r="C744" s="91" t="s">
        <v>51</v>
      </c>
      <c r="D744" s="74">
        <f>D745</f>
        <v>0</v>
      </c>
      <c r="E744" s="74">
        <f>E745</f>
        <v>0</v>
      </c>
      <c r="F744" s="72"/>
    </row>
    <row r="745" spans="1:6" ht="37.5" hidden="1" x14ac:dyDescent="0.3">
      <c r="A745" s="12" t="s">
        <v>433</v>
      </c>
      <c r="B745" s="10" t="s">
        <v>803</v>
      </c>
      <c r="C745" s="91" t="s">
        <v>60</v>
      </c>
      <c r="D745" s="74">
        <f>'В-26,27'!G786</f>
        <v>0</v>
      </c>
      <c r="E745" s="74">
        <f>'В-26,27'!H786</f>
        <v>0</v>
      </c>
      <c r="F745" s="72"/>
    </row>
    <row r="746" spans="1:6" ht="18.75" hidden="1" x14ac:dyDescent="0.3">
      <c r="A746" s="12" t="s">
        <v>536</v>
      </c>
      <c r="B746" s="10" t="s">
        <v>545</v>
      </c>
      <c r="C746" s="10" t="s">
        <v>51</v>
      </c>
      <c r="D746" s="74">
        <f>D747</f>
        <v>0</v>
      </c>
      <c r="E746" s="74">
        <f>E747</f>
        <v>0</v>
      </c>
      <c r="F746" s="72"/>
    </row>
    <row r="747" spans="1:6" ht="37.5" hidden="1" x14ac:dyDescent="0.3">
      <c r="A747" s="12" t="s">
        <v>433</v>
      </c>
      <c r="B747" s="10" t="s">
        <v>545</v>
      </c>
      <c r="C747" s="10" t="s">
        <v>60</v>
      </c>
      <c r="D747" s="74">
        <f>'В-26,27'!G771</f>
        <v>0</v>
      </c>
      <c r="E747" s="74">
        <f>'В-26,27'!H771</f>
        <v>0</v>
      </c>
      <c r="F747" s="72"/>
    </row>
    <row r="748" spans="1:6" ht="19.5" hidden="1" x14ac:dyDescent="0.35">
      <c r="A748" s="66" t="s">
        <v>417</v>
      </c>
      <c r="B748" s="49" t="s">
        <v>35</v>
      </c>
      <c r="C748" s="50" t="s">
        <v>51</v>
      </c>
      <c r="D748" s="94">
        <f>D749+D756+D759</f>
        <v>0</v>
      </c>
      <c r="E748" s="94">
        <f>E749</f>
        <v>0</v>
      </c>
      <c r="F748" s="72"/>
    </row>
    <row r="749" spans="1:6" ht="18.75" hidden="1" x14ac:dyDescent="0.3">
      <c r="A749" s="12" t="s">
        <v>63</v>
      </c>
      <c r="B749" s="10" t="s">
        <v>227</v>
      </c>
      <c r="C749" s="10" t="s">
        <v>51</v>
      </c>
      <c r="D749" s="74">
        <f>D750+D752+D754</f>
        <v>0</v>
      </c>
      <c r="E749" s="74">
        <f>E752</f>
        <v>0</v>
      </c>
      <c r="F749" s="72"/>
    </row>
    <row r="750" spans="1:6" ht="18.75" hidden="1" outlineLevel="1" x14ac:dyDescent="0.3">
      <c r="A750" s="12" t="s">
        <v>226</v>
      </c>
      <c r="B750" s="10" t="s">
        <v>228</v>
      </c>
      <c r="C750" s="10" t="s">
        <v>51</v>
      </c>
      <c r="D750" s="74">
        <f>D751</f>
        <v>0</v>
      </c>
      <c r="E750" s="74">
        <f>E751</f>
        <v>0</v>
      </c>
      <c r="F750" s="72"/>
    </row>
    <row r="751" spans="1:6" ht="18.75" hidden="1" outlineLevel="1" x14ac:dyDescent="0.3">
      <c r="A751" s="12" t="s">
        <v>59</v>
      </c>
      <c r="B751" s="10" t="s">
        <v>228</v>
      </c>
      <c r="C751" s="10" t="s">
        <v>60</v>
      </c>
      <c r="D751" s="74">
        <f>'[2]В-21'!G429</f>
        <v>0</v>
      </c>
      <c r="E751" s="74">
        <f>'[2]В-21'!H429</f>
        <v>0</v>
      </c>
      <c r="F751" s="72"/>
    </row>
    <row r="752" spans="1:6" ht="20.25" hidden="1" customHeight="1" x14ac:dyDescent="0.3">
      <c r="A752" s="6" t="s">
        <v>272</v>
      </c>
      <c r="B752" s="10" t="s">
        <v>274</v>
      </c>
      <c r="C752" s="10" t="s">
        <v>51</v>
      </c>
      <c r="D752" s="74">
        <f>D753</f>
        <v>0</v>
      </c>
      <c r="E752" s="74">
        <f>E753</f>
        <v>0</v>
      </c>
      <c r="F752" s="72"/>
    </row>
    <row r="753" spans="1:6" ht="37.5" hidden="1" x14ac:dyDescent="0.3">
      <c r="A753" s="12" t="s">
        <v>433</v>
      </c>
      <c r="B753" s="10" t="s">
        <v>274</v>
      </c>
      <c r="C753" s="10" t="s">
        <v>60</v>
      </c>
      <c r="D753" s="74">
        <f>'В-26,27'!G775</f>
        <v>0</v>
      </c>
      <c r="E753" s="74">
        <f>'В-26,27'!H775</f>
        <v>0</v>
      </c>
      <c r="F753" s="72"/>
    </row>
    <row r="754" spans="1:6" ht="37.5" hidden="1" x14ac:dyDescent="0.3">
      <c r="A754" s="64" t="s">
        <v>275</v>
      </c>
      <c r="B754" s="10" t="s">
        <v>276</v>
      </c>
      <c r="C754" s="10" t="s">
        <v>51</v>
      </c>
      <c r="D754" s="74">
        <f>D755</f>
        <v>0</v>
      </c>
      <c r="E754" s="74">
        <f>E755</f>
        <v>0</v>
      </c>
      <c r="F754" s="72"/>
    </row>
    <row r="755" spans="1:6" ht="37.5" hidden="1" x14ac:dyDescent="0.3">
      <c r="A755" s="12" t="s">
        <v>433</v>
      </c>
      <c r="B755" s="10" t="s">
        <v>276</v>
      </c>
      <c r="C755" s="1">
        <v>200</v>
      </c>
      <c r="D755" s="74">
        <v>0</v>
      </c>
      <c r="E755" s="74">
        <f>'В-26,27'!H777</f>
        <v>0</v>
      </c>
      <c r="F755" s="72"/>
    </row>
    <row r="756" spans="1:6" ht="56.25" hidden="1" x14ac:dyDescent="0.3">
      <c r="A756" s="12" t="s">
        <v>252</v>
      </c>
      <c r="B756" s="10" t="s">
        <v>478</v>
      </c>
      <c r="C756" s="11" t="s">
        <v>51</v>
      </c>
      <c r="D756" s="74">
        <f>D757</f>
        <v>0</v>
      </c>
      <c r="E756" s="74">
        <f>E757</f>
        <v>0</v>
      </c>
      <c r="F756" s="72"/>
    </row>
    <row r="757" spans="1:6" ht="18.75" hidden="1" x14ac:dyDescent="0.3">
      <c r="A757" s="12" t="s">
        <v>479</v>
      </c>
      <c r="B757" s="10" t="s">
        <v>477</v>
      </c>
      <c r="C757" s="11" t="s">
        <v>51</v>
      </c>
      <c r="D757" s="74">
        <f>D758</f>
        <v>0</v>
      </c>
      <c r="E757" s="74">
        <f>E758</f>
        <v>0</v>
      </c>
      <c r="F757" s="72"/>
    </row>
    <row r="758" spans="1:6" ht="37.5" hidden="1" x14ac:dyDescent="0.3">
      <c r="A758" s="12" t="s">
        <v>433</v>
      </c>
      <c r="B758" s="10" t="s">
        <v>477</v>
      </c>
      <c r="C758" s="1">
        <v>200</v>
      </c>
      <c r="D758" s="74">
        <f>'[2]В-21'!G552</f>
        <v>0</v>
      </c>
      <c r="E758" s="74">
        <f>'[2]В-21'!H552</f>
        <v>0</v>
      </c>
      <c r="F758" s="72"/>
    </row>
    <row r="759" spans="1:6" ht="37.5" hidden="1" x14ac:dyDescent="0.3">
      <c r="A759" s="12" t="s">
        <v>480</v>
      </c>
      <c r="B759" s="10" t="s">
        <v>481</v>
      </c>
      <c r="C759" s="11" t="s">
        <v>51</v>
      </c>
      <c r="D759" s="74">
        <f>D760</f>
        <v>0</v>
      </c>
      <c r="E759" s="74">
        <f>E760</f>
        <v>0</v>
      </c>
      <c r="F759" s="72"/>
    </row>
    <row r="760" spans="1:6" ht="37.5" hidden="1" x14ac:dyDescent="0.3">
      <c r="A760" s="12" t="s">
        <v>433</v>
      </c>
      <c r="B760" s="10" t="s">
        <v>481</v>
      </c>
      <c r="C760" s="1">
        <v>200</v>
      </c>
      <c r="D760" s="74">
        <f>'[2]В-21'!G554</f>
        <v>0</v>
      </c>
      <c r="E760" s="74">
        <f>'[2]В-21'!H554</f>
        <v>0</v>
      </c>
      <c r="F760" s="72"/>
    </row>
    <row r="761" spans="1:6" ht="66" hidden="1" customHeight="1" x14ac:dyDescent="0.35">
      <c r="A761" s="82" t="s">
        <v>717</v>
      </c>
      <c r="B761" s="50" t="s">
        <v>718</v>
      </c>
      <c r="C761" s="50" t="s">
        <v>51</v>
      </c>
      <c r="D761" s="94">
        <f t="shared" ref="D761:E763" si="11">D762</f>
        <v>0</v>
      </c>
      <c r="E761" s="94">
        <f t="shared" si="11"/>
        <v>0</v>
      </c>
      <c r="F761" s="72"/>
    </row>
    <row r="762" spans="1:6" ht="18.75" hidden="1" x14ac:dyDescent="0.3">
      <c r="A762" s="33" t="s">
        <v>84</v>
      </c>
      <c r="B762" s="10" t="s">
        <v>719</v>
      </c>
      <c r="C762" s="10" t="s">
        <v>51</v>
      </c>
      <c r="D762" s="74">
        <f t="shared" si="11"/>
        <v>0</v>
      </c>
      <c r="E762" s="74">
        <f t="shared" si="11"/>
        <v>0</v>
      </c>
      <c r="F762" s="72"/>
    </row>
    <row r="763" spans="1:6" ht="37.5" hidden="1" x14ac:dyDescent="0.3">
      <c r="A763" s="88" t="s">
        <v>353</v>
      </c>
      <c r="B763" s="10" t="s">
        <v>720</v>
      </c>
      <c r="C763" s="10" t="s">
        <v>51</v>
      </c>
      <c r="D763" s="74">
        <f t="shared" si="11"/>
        <v>0</v>
      </c>
      <c r="E763" s="74">
        <f t="shared" si="11"/>
        <v>0</v>
      </c>
      <c r="F763" s="72"/>
    </row>
    <row r="764" spans="1:6" ht="37.5" hidden="1" x14ac:dyDescent="0.3">
      <c r="A764" s="88" t="s">
        <v>721</v>
      </c>
      <c r="B764" s="10" t="s">
        <v>722</v>
      </c>
      <c r="C764" s="10" t="s">
        <v>51</v>
      </c>
      <c r="D764" s="74">
        <f>D765+D767</f>
        <v>0</v>
      </c>
      <c r="E764" s="74">
        <f>E765+E767</f>
        <v>0</v>
      </c>
      <c r="F764" s="72"/>
    </row>
    <row r="765" spans="1:6" ht="75" hidden="1" x14ac:dyDescent="0.3">
      <c r="A765" s="88" t="s">
        <v>724</v>
      </c>
      <c r="B765" s="97" t="s">
        <v>723</v>
      </c>
      <c r="C765" s="10" t="s">
        <v>51</v>
      </c>
      <c r="D765" s="74">
        <f>D766</f>
        <v>0</v>
      </c>
      <c r="E765" s="74">
        <f>E766</f>
        <v>0</v>
      </c>
      <c r="F765" s="72"/>
    </row>
    <row r="766" spans="1:6" ht="37.5" hidden="1" x14ac:dyDescent="0.3">
      <c r="A766" s="12" t="s">
        <v>293</v>
      </c>
      <c r="B766" s="97" t="s">
        <v>723</v>
      </c>
      <c r="C766" s="10" t="s">
        <v>294</v>
      </c>
      <c r="D766" s="74">
        <f>'В-26,27'!G806</f>
        <v>0</v>
      </c>
      <c r="E766" s="74">
        <f>'В-26,27'!H806</f>
        <v>0</v>
      </c>
      <c r="F766" s="72"/>
    </row>
    <row r="767" spans="1:6" ht="56.25" hidden="1" x14ac:dyDescent="0.3">
      <c r="A767" s="88" t="s">
        <v>726</v>
      </c>
      <c r="B767" s="97" t="s">
        <v>725</v>
      </c>
      <c r="C767" s="10" t="s">
        <v>51</v>
      </c>
      <c r="D767" s="74">
        <f>D768</f>
        <v>0</v>
      </c>
      <c r="E767" s="74">
        <f>E768</f>
        <v>0</v>
      </c>
      <c r="F767" s="72"/>
    </row>
    <row r="768" spans="1:6" ht="37.5" hidden="1" x14ac:dyDescent="0.3">
      <c r="A768" s="12" t="s">
        <v>293</v>
      </c>
      <c r="B768" s="97" t="s">
        <v>725</v>
      </c>
      <c r="C768" s="10" t="s">
        <v>294</v>
      </c>
      <c r="D768" s="74">
        <f>'В-26,27'!G808</f>
        <v>0</v>
      </c>
      <c r="E768" s="74">
        <f>'В-26,27'!H808</f>
        <v>0</v>
      </c>
      <c r="F768" s="72"/>
    </row>
    <row r="769" spans="1:6" ht="56.25" x14ac:dyDescent="0.3">
      <c r="A769" s="196" t="s">
        <v>20</v>
      </c>
      <c r="B769" s="15" t="s">
        <v>21</v>
      </c>
      <c r="C769" s="8" t="s">
        <v>51</v>
      </c>
      <c r="D769" s="93">
        <f>D773+D771</f>
        <v>240</v>
      </c>
      <c r="E769" s="93">
        <f>E773</f>
        <v>0</v>
      </c>
      <c r="F769" s="72"/>
    </row>
    <row r="770" spans="1:6" ht="19.5" x14ac:dyDescent="0.35">
      <c r="A770" s="250" t="s">
        <v>417</v>
      </c>
      <c r="B770" s="49" t="s">
        <v>35</v>
      </c>
      <c r="C770" s="50" t="s">
        <v>51</v>
      </c>
      <c r="D770" s="93">
        <f>D773+D771</f>
        <v>240</v>
      </c>
      <c r="E770" s="93">
        <f>E773</f>
        <v>0</v>
      </c>
      <c r="F770" s="72"/>
    </row>
    <row r="771" spans="1:6" ht="37.5" x14ac:dyDescent="0.3">
      <c r="A771" s="64" t="s">
        <v>275</v>
      </c>
      <c r="B771" s="10" t="s">
        <v>276</v>
      </c>
      <c r="C771" s="10" t="s">
        <v>51</v>
      </c>
      <c r="D771" s="74">
        <f>D772</f>
        <v>240</v>
      </c>
      <c r="E771" s="74">
        <f>E772</f>
        <v>0</v>
      </c>
      <c r="F771" s="72"/>
    </row>
    <row r="772" spans="1:6" ht="37.5" x14ac:dyDescent="0.3">
      <c r="A772" s="12" t="s">
        <v>433</v>
      </c>
      <c r="B772" s="10" t="s">
        <v>276</v>
      </c>
      <c r="C772" s="1">
        <v>200</v>
      </c>
      <c r="D772" s="74">
        <f>'В-26,27'!G777</f>
        <v>240</v>
      </c>
      <c r="E772" s="74">
        <f>'В-26,27'!H794</f>
        <v>0</v>
      </c>
      <c r="F772" s="72"/>
    </row>
    <row r="773" spans="1:6" ht="37.5" x14ac:dyDescent="0.3">
      <c r="A773" s="124" t="s">
        <v>893</v>
      </c>
      <c r="B773" s="29" t="s">
        <v>892</v>
      </c>
      <c r="C773" s="29" t="s">
        <v>51</v>
      </c>
      <c r="D773" s="74">
        <f>D774</f>
        <v>0</v>
      </c>
      <c r="E773" s="74">
        <f>E774</f>
        <v>0</v>
      </c>
      <c r="F773" s="72"/>
    </row>
    <row r="774" spans="1:6" ht="18.75" x14ac:dyDescent="0.3">
      <c r="A774" s="124" t="s">
        <v>59</v>
      </c>
      <c r="B774" s="29" t="s">
        <v>892</v>
      </c>
      <c r="C774" s="29" t="s">
        <v>60</v>
      </c>
      <c r="D774" s="74">
        <f>'В-26,27'!G827</f>
        <v>0</v>
      </c>
      <c r="E774" s="74">
        <f>'В-26,27'!H827</f>
        <v>0</v>
      </c>
      <c r="F774" s="72"/>
    </row>
    <row r="775" spans="1:6" ht="37.5" x14ac:dyDescent="0.3">
      <c r="A775" s="67" t="s">
        <v>421</v>
      </c>
      <c r="B775" s="63" t="s">
        <v>403</v>
      </c>
      <c r="C775" s="8" t="s">
        <v>51</v>
      </c>
      <c r="D775" s="93">
        <f>D776</f>
        <v>1100</v>
      </c>
      <c r="E775" s="93">
        <f>E776</f>
        <v>1100</v>
      </c>
      <c r="F775" s="72"/>
    </row>
    <row r="776" spans="1:6" ht="56.25" x14ac:dyDescent="0.3">
      <c r="A776" s="12" t="s">
        <v>104</v>
      </c>
      <c r="B776" s="21" t="s">
        <v>511</v>
      </c>
      <c r="C776" s="10" t="s">
        <v>51</v>
      </c>
      <c r="D776" s="74">
        <f>D777+D779</f>
        <v>1100</v>
      </c>
      <c r="E776" s="74">
        <f>E777+E779</f>
        <v>1100</v>
      </c>
      <c r="F776" s="72"/>
    </row>
    <row r="777" spans="1:6" ht="37.5" hidden="1" x14ac:dyDescent="0.3">
      <c r="A777" s="12" t="s">
        <v>106</v>
      </c>
      <c r="B777" s="11" t="s">
        <v>404</v>
      </c>
      <c r="C777" s="11" t="s">
        <v>51</v>
      </c>
      <c r="D777" s="74">
        <f>D778</f>
        <v>0</v>
      </c>
      <c r="E777" s="74">
        <f>E778</f>
        <v>0</v>
      </c>
      <c r="F777" s="72"/>
    </row>
    <row r="778" spans="1:6" ht="75" hidden="1" x14ac:dyDescent="0.3">
      <c r="A778" s="12" t="s">
        <v>57</v>
      </c>
      <c r="B778" s="11" t="s">
        <v>404</v>
      </c>
      <c r="C778" s="11" t="s">
        <v>58</v>
      </c>
      <c r="D778" s="74">
        <f>'В-26,27'!G1248</f>
        <v>0</v>
      </c>
      <c r="E778" s="74">
        <f>'В-26,27'!H1248</f>
        <v>0</v>
      </c>
      <c r="F778" s="72"/>
    </row>
    <row r="779" spans="1:6" ht="33" customHeight="1" x14ac:dyDescent="0.3">
      <c r="A779" s="2" t="s">
        <v>377</v>
      </c>
      <c r="B779" s="11" t="s">
        <v>404</v>
      </c>
      <c r="C779" s="11" t="s">
        <v>51</v>
      </c>
      <c r="D779" s="74">
        <f>D780</f>
        <v>1100</v>
      </c>
      <c r="E779" s="74">
        <f>E780</f>
        <v>1100</v>
      </c>
      <c r="F779" s="72"/>
    </row>
    <row r="780" spans="1:6" ht="75" x14ac:dyDescent="0.3">
      <c r="A780" s="12" t="s">
        <v>57</v>
      </c>
      <c r="B780" s="11" t="s">
        <v>404</v>
      </c>
      <c r="C780" s="11" t="s">
        <v>58</v>
      </c>
      <c r="D780" s="74">
        <f>'В-26,27'!G1250</f>
        <v>1100</v>
      </c>
      <c r="E780" s="74">
        <f>'В-26,27'!H1250</f>
        <v>1100</v>
      </c>
      <c r="F780" s="72"/>
    </row>
    <row r="781" spans="1:6" ht="15.75" x14ac:dyDescent="0.25">
      <c r="A781" s="45"/>
      <c r="B781" s="46"/>
      <c r="C781" s="45"/>
      <c r="D781" s="216"/>
      <c r="E781" s="216"/>
      <c r="F781" s="72"/>
    </row>
    <row r="782" spans="1:6" ht="15.75" x14ac:dyDescent="0.25">
      <c r="A782" s="45"/>
      <c r="B782" s="46"/>
      <c r="C782" s="45"/>
      <c r="D782" s="216"/>
      <c r="E782" s="216"/>
      <c r="F782" s="72"/>
    </row>
    <row r="783" spans="1:6" ht="15.75" x14ac:dyDescent="0.25">
      <c r="A783" s="45"/>
      <c r="B783" s="46"/>
      <c r="C783" s="45"/>
      <c r="D783" s="216"/>
      <c r="E783" s="216"/>
      <c r="F783" s="72"/>
    </row>
    <row r="784" spans="1:6" ht="15.75" x14ac:dyDescent="0.25">
      <c r="A784" s="45"/>
      <c r="B784" s="46"/>
      <c r="C784" s="45"/>
      <c r="D784" s="216"/>
      <c r="E784" s="216"/>
      <c r="F784" s="72"/>
    </row>
    <row r="785" spans="1:6" ht="15.75" x14ac:dyDescent="0.25">
      <c r="A785" s="45"/>
      <c r="B785" s="46"/>
      <c r="C785" s="45"/>
      <c r="D785" s="216"/>
      <c r="E785" s="216"/>
      <c r="F785" s="72"/>
    </row>
    <row r="786" spans="1:6" ht="15.75" x14ac:dyDescent="0.25">
      <c r="A786" s="45"/>
      <c r="B786" s="46"/>
      <c r="C786" s="45"/>
      <c r="D786" s="216"/>
      <c r="E786" s="216"/>
      <c r="F786" s="72"/>
    </row>
    <row r="787" spans="1:6" ht="15.75" x14ac:dyDescent="0.25">
      <c r="A787" s="45"/>
      <c r="B787" s="46"/>
      <c r="C787" s="45"/>
      <c r="D787" s="216"/>
      <c r="E787" s="216"/>
      <c r="F787" s="72"/>
    </row>
    <row r="788" spans="1:6" ht="15.75" x14ac:dyDescent="0.25">
      <c r="A788" s="45"/>
      <c r="B788" s="46"/>
      <c r="C788" s="45"/>
      <c r="D788" s="216"/>
      <c r="E788" s="216"/>
      <c r="F788" s="72"/>
    </row>
    <row r="789" spans="1:6" ht="15.75" x14ac:dyDescent="0.25">
      <c r="A789" s="45"/>
      <c r="B789" s="46"/>
      <c r="C789" s="45"/>
      <c r="D789" s="216"/>
      <c r="E789" s="216"/>
      <c r="F789" s="72"/>
    </row>
    <row r="790" spans="1:6" ht="15.75" x14ac:dyDescent="0.25">
      <c r="A790" s="45"/>
      <c r="B790" s="46"/>
      <c r="C790" s="45"/>
      <c r="D790" s="216"/>
      <c r="E790" s="216"/>
      <c r="F790" s="72"/>
    </row>
    <row r="791" spans="1:6" ht="15.75" x14ac:dyDescent="0.25">
      <c r="A791" s="45"/>
      <c r="B791" s="46"/>
      <c r="C791" s="45"/>
      <c r="D791" s="216"/>
      <c r="E791" s="216"/>
      <c r="F791" s="72"/>
    </row>
    <row r="792" spans="1:6" ht="15.75" x14ac:dyDescent="0.25">
      <c r="A792" s="45"/>
      <c r="B792" s="46"/>
      <c r="C792" s="45"/>
      <c r="D792" s="216"/>
      <c r="E792" s="216"/>
      <c r="F792" s="72"/>
    </row>
    <row r="793" spans="1:6" ht="15.75" x14ac:dyDescent="0.25">
      <c r="A793" s="45"/>
      <c r="B793" s="47"/>
      <c r="C793" s="45"/>
      <c r="D793" s="216"/>
      <c r="E793" s="216"/>
      <c r="F793" s="72"/>
    </row>
    <row r="794" spans="1:6" ht="15.75" x14ac:dyDescent="0.25">
      <c r="A794" s="45"/>
      <c r="B794" s="47"/>
      <c r="C794" s="45"/>
      <c r="D794" s="216"/>
      <c r="E794" s="216"/>
      <c r="F794" s="72"/>
    </row>
    <row r="795" spans="1:6" ht="15.75" x14ac:dyDescent="0.25">
      <c r="A795" s="45"/>
      <c r="B795" s="47"/>
      <c r="C795" s="45"/>
      <c r="D795" s="216"/>
      <c r="E795" s="216"/>
      <c r="F795" s="72"/>
    </row>
    <row r="796" spans="1:6" ht="15.75" x14ac:dyDescent="0.25">
      <c r="A796" s="45"/>
      <c r="B796" s="47"/>
      <c r="C796" s="45"/>
      <c r="D796" s="216"/>
      <c r="E796" s="216"/>
      <c r="F796" s="72"/>
    </row>
    <row r="797" spans="1:6" ht="15.75" x14ac:dyDescent="0.25">
      <c r="A797" s="45"/>
      <c r="B797" s="47"/>
      <c r="C797" s="45"/>
      <c r="D797" s="216"/>
      <c r="E797" s="216"/>
      <c r="F797" s="72"/>
    </row>
    <row r="798" spans="1:6" ht="15.75" x14ac:dyDescent="0.25">
      <c r="A798" s="45"/>
      <c r="B798" s="47"/>
      <c r="C798" s="45"/>
      <c r="D798" s="216"/>
      <c r="E798" s="216"/>
      <c r="F798" s="72"/>
    </row>
    <row r="799" spans="1:6" ht="15.75" x14ac:dyDescent="0.25">
      <c r="A799" s="45"/>
      <c r="B799" s="47"/>
      <c r="C799" s="45"/>
      <c r="D799" s="216"/>
      <c r="E799" s="216"/>
      <c r="F799" s="72"/>
    </row>
    <row r="800" spans="1:6" ht="15.75" x14ac:dyDescent="0.25">
      <c r="A800" s="45"/>
      <c r="B800" s="47"/>
      <c r="C800" s="45"/>
      <c r="D800" s="216"/>
      <c r="E800" s="216"/>
      <c r="F800" s="72"/>
    </row>
    <row r="801" spans="1:6" ht="15.75" x14ac:dyDescent="0.25">
      <c r="A801" s="45"/>
      <c r="B801" s="47"/>
      <c r="C801" s="45"/>
      <c r="D801" s="216"/>
      <c r="E801" s="216"/>
      <c r="F801" s="72"/>
    </row>
    <row r="802" spans="1:6" ht="15.75" x14ac:dyDescent="0.25">
      <c r="A802" s="45"/>
      <c r="B802" s="47"/>
      <c r="C802" s="45"/>
      <c r="D802" s="216"/>
      <c r="E802" s="216"/>
      <c r="F802" s="72"/>
    </row>
    <row r="803" spans="1:6" ht="15.75" x14ac:dyDescent="0.25">
      <c r="A803" s="45"/>
      <c r="B803" s="47"/>
      <c r="C803" s="45"/>
      <c r="D803" s="216"/>
      <c r="E803" s="216"/>
      <c r="F803" s="72"/>
    </row>
    <row r="804" spans="1:6" ht="15.75" x14ac:dyDescent="0.25">
      <c r="A804" s="45"/>
      <c r="B804" s="47"/>
      <c r="C804" s="45"/>
      <c r="D804" s="216"/>
      <c r="E804" s="216"/>
      <c r="F804" s="72"/>
    </row>
    <row r="805" spans="1:6" ht="15.75" x14ac:dyDescent="0.25">
      <c r="A805" s="45"/>
      <c r="B805" s="47"/>
      <c r="C805" s="45"/>
      <c r="D805" s="216"/>
      <c r="E805" s="216"/>
      <c r="F805" s="72"/>
    </row>
    <row r="806" spans="1:6" ht="15.75" x14ac:dyDescent="0.25">
      <c r="A806" s="45"/>
      <c r="B806" s="47"/>
      <c r="C806" s="45"/>
      <c r="D806" s="216"/>
      <c r="E806" s="216"/>
      <c r="F806" s="72"/>
    </row>
    <row r="807" spans="1:6" ht="15.75" x14ac:dyDescent="0.25">
      <c r="A807" s="45"/>
      <c r="B807" s="47"/>
      <c r="C807" s="45"/>
      <c r="D807" s="216"/>
      <c r="E807" s="216"/>
      <c r="F807" s="72"/>
    </row>
    <row r="808" spans="1:6" ht="15.75" x14ac:dyDescent="0.25">
      <c r="A808" s="45"/>
      <c r="B808" s="47"/>
      <c r="C808" s="45"/>
      <c r="D808" s="216"/>
      <c r="E808" s="216"/>
      <c r="F808" s="72"/>
    </row>
    <row r="809" spans="1:6" ht="15.75" x14ac:dyDescent="0.25">
      <c r="A809" s="45"/>
      <c r="B809" s="47"/>
      <c r="C809" s="45"/>
      <c r="D809" s="216"/>
      <c r="E809" s="216"/>
      <c r="F809" s="72"/>
    </row>
    <row r="810" spans="1:6" ht="15.75" x14ac:dyDescent="0.25">
      <c r="A810" s="45"/>
      <c r="B810" s="47"/>
      <c r="C810" s="45"/>
      <c r="D810" s="216"/>
      <c r="E810" s="216"/>
      <c r="F810" s="72"/>
    </row>
    <row r="811" spans="1:6" ht="15.75" x14ac:dyDescent="0.25">
      <c r="A811" s="45"/>
      <c r="B811" s="47"/>
      <c r="C811" s="45"/>
      <c r="D811" s="216"/>
      <c r="E811" s="216"/>
      <c r="F811" s="72"/>
    </row>
    <row r="812" spans="1:6" ht="15.75" x14ac:dyDescent="0.25">
      <c r="A812" s="45"/>
      <c r="B812" s="47"/>
      <c r="C812" s="45"/>
      <c r="D812" s="216"/>
      <c r="E812" s="216"/>
      <c r="F812" s="72"/>
    </row>
    <row r="813" spans="1:6" ht="15.75" x14ac:dyDescent="0.25">
      <c r="A813" s="45"/>
      <c r="B813" s="47"/>
      <c r="C813" s="45"/>
      <c r="D813" s="216"/>
      <c r="E813" s="216"/>
      <c r="F813" s="72"/>
    </row>
    <row r="814" spans="1:6" ht="15.75" x14ac:dyDescent="0.25">
      <c r="A814" s="45"/>
      <c r="B814" s="47"/>
      <c r="C814" s="45"/>
      <c r="D814" s="216"/>
      <c r="E814" s="216"/>
      <c r="F814" s="72"/>
    </row>
    <row r="815" spans="1:6" ht="15.75" x14ac:dyDescent="0.25">
      <c r="A815" s="45"/>
      <c r="B815" s="47"/>
      <c r="C815" s="45"/>
      <c r="D815" s="216"/>
      <c r="E815" s="216"/>
      <c r="F815" s="72"/>
    </row>
    <row r="816" spans="1:6" ht="15.75" x14ac:dyDescent="0.25">
      <c r="A816" s="45"/>
      <c r="B816" s="47"/>
      <c r="C816" s="45"/>
      <c r="D816" s="216"/>
      <c r="E816" s="216"/>
      <c r="F816" s="72"/>
    </row>
    <row r="817" spans="1:6" ht="15.75" x14ac:dyDescent="0.25">
      <c r="A817" s="45"/>
      <c r="B817" s="47"/>
      <c r="C817" s="45"/>
      <c r="D817" s="216"/>
      <c r="E817" s="216"/>
      <c r="F817" s="72"/>
    </row>
    <row r="818" spans="1:6" ht="15.75" x14ac:dyDescent="0.25">
      <c r="A818" s="45"/>
      <c r="B818" s="47"/>
      <c r="C818" s="45"/>
      <c r="D818" s="216"/>
      <c r="E818" s="216"/>
      <c r="F818" s="72"/>
    </row>
    <row r="819" spans="1:6" ht="15.75" x14ac:dyDescent="0.25">
      <c r="A819" s="45"/>
      <c r="B819" s="47"/>
      <c r="C819" s="45"/>
      <c r="D819" s="216"/>
      <c r="E819" s="216"/>
      <c r="F819" s="72"/>
    </row>
    <row r="820" spans="1:6" ht="15.75" x14ac:dyDescent="0.25">
      <c r="A820" s="45"/>
      <c r="B820" s="47"/>
      <c r="C820" s="45"/>
      <c r="D820" s="216"/>
      <c r="E820" s="216"/>
      <c r="F820" s="72"/>
    </row>
    <row r="821" spans="1:6" ht="15.75" x14ac:dyDescent="0.25">
      <c r="A821" s="45"/>
      <c r="B821" s="47"/>
      <c r="C821" s="45"/>
      <c r="D821" s="216"/>
      <c r="E821" s="216"/>
      <c r="F821" s="72"/>
    </row>
    <row r="822" spans="1:6" ht="15.75" x14ac:dyDescent="0.25">
      <c r="A822" s="45"/>
      <c r="B822" s="47"/>
      <c r="C822" s="45"/>
      <c r="D822" s="216"/>
      <c r="E822" s="216"/>
      <c r="F822" s="72"/>
    </row>
    <row r="823" spans="1:6" ht="15.75" x14ac:dyDescent="0.25">
      <c r="A823" s="45"/>
      <c r="B823" s="47"/>
      <c r="C823" s="45"/>
      <c r="D823" s="216"/>
      <c r="E823" s="216"/>
      <c r="F823" s="72"/>
    </row>
    <row r="824" spans="1:6" ht="15.75" x14ac:dyDescent="0.25">
      <c r="A824" s="45"/>
      <c r="B824" s="47"/>
      <c r="C824" s="45"/>
      <c r="D824" s="216"/>
      <c r="E824" s="216"/>
      <c r="F824" s="72"/>
    </row>
    <row r="825" spans="1:6" ht="15.75" x14ac:dyDescent="0.25">
      <c r="A825" s="45"/>
      <c r="B825" s="47"/>
      <c r="C825" s="45"/>
      <c r="D825" s="216"/>
      <c r="E825" s="216"/>
      <c r="F825" s="72"/>
    </row>
    <row r="826" spans="1:6" ht="15.75" x14ac:dyDescent="0.25">
      <c r="A826" s="45"/>
      <c r="B826" s="47"/>
      <c r="C826" s="45"/>
      <c r="D826" s="216"/>
      <c r="E826" s="216"/>
      <c r="F826" s="72"/>
    </row>
    <row r="827" spans="1:6" ht="15.75" x14ac:dyDescent="0.25">
      <c r="A827" s="45"/>
      <c r="B827" s="47"/>
      <c r="C827" s="45"/>
      <c r="D827" s="216"/>
      <c r="E827" s="216"/>
      <c r="F827" s="72"/>
    </row>
    <row r="828" spans="1:6" ht="15.75" x14ac:dyDescent="0.25">
      <c r="A828" s="45"/>
      <c r="B828" s="47"/>
      <c r="C828" s="45"/>
      <c r="D828" s="216"/>
      <c r="E828" s="216"/>
      <c r="F828" s="72"/>
    </row>
    <row r="829" spans="1:6" ht="15.75" x14ac:dyDescent="0.25">
      <c r="A829" s="45"/>
      <c r="B829" s="47"/>
      <c r="C829" s="45"/>
      <c r="D829" s="216"/>
      <c r="E829" s="216"/>
      <c r="F829" s="72"/>
    </row>
    <row r="830" spans="1:6" ht="15.75" x14ac:dyDescent="0.25">
      <c r="A830" s="45"/>
      <c r="B830" s="47"/>
      <c r="C830" s="45"/>
      <c r="D830" s="216"/>
      <c r="E830" s="216"/>
      <c r="F830" s="72"/>
    </row>
    <row r="831" spans="1:6" ht="15.75" x14ac:dyDescent="0.25">
      <c r="A831" s="45"/>
      <c r="B831" s="47"/>
      <c r="C831" s="45"/>
      <c r="D831" s="216"/>
      <c r="E831" s="216"/>
      <c r="F831" s="72"/>
    </row>
    <row r="832" spans="1:6" ht="15.75" x14ac:dyDescent="0.25">
      <c r="A832" s="45"/>
      <c r="B832" s="47"/>
      <c r="C832" s="45"/>
      <c r="D832" s="216"/>
      <c r="E832" s="216"/>
      <c r="F832" s="72"/>
    </row>
    <row r="833" spans="1:6" ht="15.75" x14ac:dyDescent="0.25">
      <c r="A833" s="45"/>
      <c r="B833" s="47"/>
      <c r="C833" s="45"/>
      <c r="D833" s="216"/>
      <c r="E833" s="216"/>
      <c r="F833" s="72"/>
    </row>
    <row r="834" spans="1:6" ht="15.75" x14ac:dyDescent="0.25">
      <c r="A834" s="45"/>
      <c r="B834" s="47"/>
      <c r="C834" s="45"/>
      <c r="D834" s="216"/>
      <c r="E834" s="216"/>
      <c r="F834" s="72"/>
    </row>
    <row r="835" spans="1:6" ht="15.75" x14ac:dyDescent="0.25">
      <c r="A835" s="45"/>
      <c r="B835" s="47"/>
      <c r="C835" s="45"/>
      <c r="D835" s="216"/>
      <c r="E835" s="216"/>
      <c r="F835" s="72"/>
    </row>
    <row r="836" spans="1:6" ht="15.75" x14ac:dyDescent="0.25">
      <c r="A836" s="45"/>
      <c r="B836" s="47"/>
      <c r="C836" s="45"/>
      <c r="D836" s="216"/>
      <c r="E836" s="216"/>
      <c r="F836" s="72"/>
    </row>
    <row r="837" spans="1:6" ht="15.75" x14ac:dyDescent="0.25">
      <c r="A837" s="45"/>
      <c r="B837" s="47"/>
      <c r="C837" s="45"/>
      <c r="D837" s="216"/>
      <c r="E837" s="216"/>
      <c r="F837" s="72"/>
    </row>
    <row r="838" spans="1:6" ht="15.75" x14ac:dyDescent="0.25">
      <c r="A838" s="45"/>
      <c r="B838" s="47"/>
      <c r="C838" s="45"/>
      <c r="D838" s="216"/>
      <c r="E838" s="216"/>
      <c r="F838" s="72"/>
    </row>
    <row r="839" spans="1:6" ht="15.75" x14ac:dyDescent="0.25">
      <c r="A839" s="45"/>
      <c r="B839" s="47"/>
      <c r="C839" s="45"/>
      <c r="D839" s="216"/>
      <c r="E839" s="216"/>
      <c r="F839" s="72"/>
    </row>
    <row r="840" spans="1:6" ht="15.75" x14ac:dyDescent="0.25">
      <c r="A840" s="45"/>
      <c r="B840" s="47"/>
      <c r="C840" s="45"/>
      <c r="D840" s="216"/>
      <c r="E840" s="216"/>
      <c r="F840" s="72"/>
    </row>
    <row r="841" spans="1:6" ht="15.75" x14ac:dyDescent="0.25">
      <c r="A841" s="45"/>
      <c r="B841" s="47"/>
      <c r="C841" s="45"/>
      <c r="D841" s="216"/>
      <c r="E841" s="216"/>
      <c r="F841" s="72"/>
    </row>
    <row r="842" spans="1:6" ht="15.75" x14ac:dyDescent="0.25">
      <c r="A842" s="45"/>
      <c r="B842" s="47"/>
      <c r="C842" s="45"/>
      <c r="D842" s="216"/>
      <c r="E842" s="216"/>
      <c r="F842" s="72"/>
    </row>
    <row r="843" spans="1:6" ht="15.75" x14ac:dyDescent="0.25">
      <c r="A843" s="45"/>
      <c r="B843" s="47"/>
      <c r="C843" s="45"/>
      <c r="D843" s="216"/>
      <c r="E843" s="216"/>
      <c r="F843" s="72"/>
    </row>
    <row r="844" spans="1:6" ht="15.75" x14ac:dyDescent="0.25">
      <c r="A844" s="45"/>
      <c r="B844" s="47"/>
      <c r="C844" s="45"/>
      <c r="D844" s="216"/>
      <c r="E844" s="216"/>
      <c r="F844" s="72"/>
    </row>
    <row r="845" spans="1:6" ht="15.75" x14ac:dyDescent="0.25">
      <c r="A845" s="45"/>
      <c r="B845" s="47"/>
      <c r="C845" s="45"/>
      <c r="D845" s="216"/>
      <c r="E845" s="216"/>
      <c r="F845" s="72"/>
    </row>
    <row r="846" spans="1:6" ht="15.75" x14ac:dyDescent="0.25">
      <c r="A846" s="45"/>
      <c r="B846" s="47"/>
      <c r="C846" s="45"/>
      <c r="D846" s="216"/>
      <c r="E846" s="216"/>
      <c r="F846" s="72"/>
    </row>
    <row r="847" spans="1:6" ht="15.75" x14ac:dyDescent="0.25">
      <c r="A847" s="45"/>
      <c r="B847" s="47"/>
      <c r="C847" s="45"/>
      <c r="D847" s="216"/>
      <c r="E847" s="216"/>
      <c r="F847" s="72"/>
    </row>
    <row r="848" spans="1:6" ht="15.75" x14ac:dyDescent="0.25">
      <c r="A848" s="45"/>
      <c r="B848" s="47"/>
      <c r="C848" s="45"/>
      <c r="D848" s="216"/>
      <c r="E848" s="216"/>
      <c r="F848" s="72"/>
    </row>
    <row r="849" spans="1:6" ht="15.75" x14ac:dyDescent="0.25">
      <c r="A849" s="45"/>
      <c r="B849" s="47"/>
      <c r="C849" s="45"/>
      <c r="D849" s="216"/>
      <c r="E849" s="216"/>
      <c r="F849" s="72"/>
    </row>
    <row r="850" spans="1:6" ht="15.75" x14ac:dyDescent="0.25">
      <c r="A850" s="45"/>
      <c r="B850" s="47"/>
      <c r="C850" s="45"/>
      <c r="D850" s="216"/>
      <c r="E850" s="216"/>
      <c r="F850" s="72"/>
    </row>
    <row r="851" spans="1:6" ht="15.75" x14ac:dyDescent="0.25">
      <c r="A851" s="45"/>
      <c r="B851" s="47"/>
      <c r="C851" s="45"/>
      <c r="D851" s="216"/>
      <c r="E851" s="216"/>
      <c r="F851" s="72"/>
    </row>
    <row r="852" spans="1:6" ht="15.75" x14ac:dyDescent="0.25">
      <c r="A852" s="45"/>
      <c r="B852" s="47"/>
      <c r="C852" s="45"/>
      <c r="D852" s="216"/>
      <c r="E852" s="216"/>
      <c r="F852" s="72"/>
    </row>
    <row r="853" spans="1:6" ht="15.75" x14ac:dyDescent="0.25">
      <c r="A853" s="45"/>
      <c r="B853" s="47"/>
      <c r="C853" s="45"/>
      <c r="D853" s="216"/>
      <c r="E853" s="216"/>
      <c r="F853" s="72"/>
    </row>
    <row r="854" spans="1:6" ht="15.75" x14ac:dyDescent="0.25">
      <c r="A854" s="45"/>
      <c r="B854" s="47"/>
      <c r="C854" s="45"/>
      <c r="D854" s="216"/>
      <c r="E854" s="216"/>
      <c r="F854" s="72"/>
    </row>
    <row r="855" spans="1:6" ht="15.75" x14ac:dyDescent="0.25">
      <c r="A855" s="45"/>
      <c r="B855" s="47"/>
      <c r="C855" s="45"/>
      <c r="D855" s="216"/>
      <c r="E855" s="216"/>
      <c r="F855" s="72"/>
    </row>
    <row r="856" spans="1:6" ht="15.75" x14ac:dyDescent="0.25">
      <c r="A856" s="45"/>
      <c r="B856" s="47"/>
      <c r="C856" s="45"/>
      <c r="D856" s="216"/>
      <c r="E856" s="216"/>
      <c r="F856" s="72"/>
    </row>
    <row r="857" spans="1:6" ht="15.75" x14ac:dyDescent="0.25">
      <c r="A857" s="45"/>
      <c r="B857" s="47"/>
      <c r="C857" s="45"/>
      <c r="D857" s="216"/>
      <c r="E857" s="216"/>
      <c r="F857" s="72"/>
    </row>
    <row r="858" spans="1:6" ht="15.75" x14ac:dyDescent="0.25">
      <c r="A858" s="45"/>
      <c r="B858" s="47"/>
      <c r="C858" s="45"/>
      <c r="D858" s="216"/>
      <c r="E858" s="216"/>
      <c r="F858" s="72"/>
    </row>
    <row r="859" spans="1:6" ht="15.75" x14ac:dyDescent="0.25">
      <c r="A859" s="45"/>
      <c r="B859" s="47"/>
      <c r="C859" s="45"/>
      <c r="D859" s="216"/>
      <c r="E859" s="216"/>
      <c r="F859" s="72"/>
    </row>
    <row r="860" spans="1:6" ht="15.75" x14ac:dyDescent="0.25">
      <c r="A860" s="45"/>
      <c r="B860" s="47"/>
      <c r="C860" s="45"/>
      <c r="D860" s="216"/>
      <c r="E860" s="216"/>
      <c r="F860" s="72"/>
    </row>
    <row r="861" spans="1:6" ht="15.75" x14ac:dyDescent="0.25">
      <c r="A861" s="45"/>
      <c r="B861" s="47"/>
      <c r="C861" s="45"/>
      <c r="D861" s="216"/>
      <c r="E861" s="216"/>
      <c r="F861" s="72"/>
    </row>
    <row r="862" spans="1:6" ht="15.75" x14ac:dyDescent="0.25">
      <c r="A862" s="45"/>
      <c r="B862" s="47"/>
      <c r="C862" s="45"/>
      <c r="D862" s="216"/>
      <c r="E862" s="216"/>
      <c r="F862" s="72"/>
    </row>
    <row r="863" spans="1:6" ht="15.75" x14ac:dyDescent="0.25">
      <c r="A863" s="45"/>
      <c r="B863" s="47"/>
      <c r="C863" s="45"/>
      <c r="D863" s="216"/>
      <c r="E863" s="216"/>
      <c r="F863" s="72"/>
    </row>
    <row r="864" spans="1:6" ht="15.75" x14ac:dyDescent="0.25">
      <c r="A864" s="45"/>
      <c r="B864" s="47"/>
      <c r="C864" s="45"/>
      <c r="D864" s="216"/>
      <c r="E864" s="216"/>
      <c r="F864" s="72"/>
    </row>
    <row r="865" spans="1:6" ht="15.75" x14ac:dyDescent="0.25">
      <c r="A865" s="45"/>
      <c r="B865" s="47"/>
      <c r="C865" s="45"/>
      <c r="D865" s="216"/>
      <c r="E865" s="216"/>
      <c r="F865" s="72"/>
    </row>
    <row r="866" spans="1:6" ht="15.75" x14ac:dyDescent="0.25">
      <c r="A866" s="45"/>
      <c r="B866" s="47"/>
      <c r="C866" s="45"/>
      <c r="D866" s="216"/>
      <c r="E866" s="216"/>
      <c r="F866" s="72"/>
    </row>
    <row r="867" spans="1:6" ht="15.75" x14ac:dyDescent="0.25">
      <c r="A867" s="45"/>
      <c r="B867" s="47"/>
      <c r="C867" s="45"/>
      <c r="D867" s="216"/>
      <c r="E867" s="216"/>
      <c r="F867" s="72"/>
    </row>
    <row r="868" spans="1:6" ht="15.75" x14ac:dyDescent="0.25">
      <c r="A868" s="45"/>
      <c r="B868" s="47"/>
      <c r="C868" s="45"/>
      <c r="D868" s="216"/>
      <c r="E868" s="216"/>
      <c r="F868" s="72"/>
    </row>
    <row r="869" spans="1:6" ht="15.75" x14ac:dyDescent="0.25">
      <c r="A869" s="45"/>
      <c r="B869" s="47"/>
      <c r="C869" s="45"/>
      <c r="D869" s="216"/>
      <c r="E869" s="216"/>
      <c r="F869" s="72"/>
    </row>
    <row r="870" spans="1:6" ht="15.75" x14ac:dyDescent="0.25">
      <c r="A870" s="45"/>
      <c r="B870" s="47"/>
      <c r="C870" s="45"/>
      <c r="D870" s="216"/>
      <c r="E870" s="216"/>
      <c r="F870" s="72"/>
    </row>
    <row r="871" spans="1:6" ht="15.75" x14ac:dyDescent="0.25">
      <c r="A871" s="45"/>
      <c r="B871" s="47"/>
      <c r="C871" s="45"/>
      <c r="D871" s="216"/>
      <c r="E871" s="216"/>
      <c r="F871" s="72"/>
    </row>
    <row r="872" spans="1:6" ht="15.75" x14ac:dyDescent="0.25">
      <c r="A872" s="45"/>
      <c r="B872" s="47"/>
      <c r="C872" s="45"/>
      <c r="D872" s="216"/>
      <c r="E872" s="216"/>
      <c r="F872" s="72"/>
    </row>
    <row r="873" spans="1:6" ht="15.75" x14ac:dyDescent="0.25">
      <c r="A873" s="45"/>
      <c r="B873" s="47"/>
      <c r="C873" s="45"/>
      <c r="D873" s="216"/>
      <c r="E873" s="216"/>
      <c r="F873" s="72"/>
    </row>
    <row r="874" spans="1:6" ht="15.75" x14ac:dyDescent="0.25">
      <c r="A874" s="45"/>
      <c r="B874" s="47"/>
      <c r="C874" s="45"/>
      <c r="D874" s="216"/>
      <c r="E874" s="216"/>
      <c r="F874" s="72"/>
    </row>
    <row r="875" spans="1:6" ht="15.75" x14ac:dyDescent="0.25">
      <c r="A875" s="45"/>
      <c r="B875" s="47"/>
      <c r="C875" s="45"/>
      <c r="D875" s="216"/>
      <c r="E875" s="216"/>
      <c r="F875" s="72"/>
    </row>
    <row r="876" spans="1:6" ht="15.75" x14ac:dyDescent="0.25">
      <c r="A876" s="45"/>
      <c r="B876" s="47"/>
      <c r="C876" s="45"/>
      <c r="D876" s="216"/>
      <c r="E876" s="216"/>
      <c r="F876" s="72"/>
    </row>
    <row r="877" spans="1:6" ht="15.75" x14ac:dyDescent="0.25">
      <c r="A877" s="45"/>
      <c r="B877" s="47"/>
      <c r="C877" s="45"/>
      <c r="D877" s="216"/>
      <c r="E877" s="216"/>
      <c r="F877" s="72"/>
    </row>
    <row r="878" spans="1:6" ht="15.75" x14ac:dyDescent="0.25">
      <c r="A878" s="45"/>
      <c r="B878" s="47"/>
      <c r="C878" s="45"/>
      <c r="D878" s="216"/>
      <c r="E878" s="216"/>
      <c r="F878" s="72"/>
    </row>
    <row r="879" spans="1:6" ht="15.75" x14ac:dyDescent="0.25">
      <c r="A879" s="45"/>
      <c r="B879" s="47"/>
      <c r="C879" s="45"/>
      <c r="D879" s="216"/>
      <c r="E879" s="216"/>
      <c r="F879" s="72"/>
    </row>
    <row r="880" spans="1:6" ht="15.75" x14ac:dyDescent="0.25">
      <c r="A880" s="45"/>
      <c r="B880" s="47"/>
      <c r="C880" s="45"/>
      <c r="D880" s="216"/>
      <c r="E880" s="216"/>
      <c r="F880" s="72"/>
    </row>
    <row r="881" spans="1:6" ht="15.75" x14ac:dyDescent="0.25">
      <c r="A881" s="45"/>
      <c r="B881" s="47"/>
      <c r="C881" s="45"/>
      <c r="D881" s="216"/>
      <c r="E881" s="216"/>
      <c r="F881" s="72"/>
    </row>
    <row r="882" spans="1:6" ht="15.75" x14ac:dyDescent="0.25">
      <c r="A882" s="45"/>
      <c r="B882" s="47"/>
      <c r="C882" s="45"/>
      <c r="D882" s="216"/>
      <c r="E882" s="216"/>
      <c r="F882" s="72"/>
    </row>
    <row r="883" spans="1:6" ht="15.75" x14ac:dyDescent="0.25">
      <c r="A883" s="45"/>
      <c r="B883" s="47"/>
      <c r="C883" s="45"/>
      <c r="D883" s="216"/>
      <c r="E883" s="216"/>
      <c r="F883" s="72"/>
    </row>
    <row r="884" spans="1:6" ht="15.75" x14ac:dyDescent="0.25">
      <c r="A884" s="45"/>
      <c r="B884" s="47"/>
      <c r="C884" s="45"/>
      <c r="D884" s="216"/>
      <c r="E884" s="216"/>
      <c r="F884" s="72"/>
    </row>
    <row r="885" spans="1:6" ht="15.75" x14ac:dyDescent="0.25">
      <c r="A885" s="45"/>
      <c r="B885" s="47"/>
      <c r="C885" s="45"/>
      <c r="D885" s="216"/>
      <c r="E885" s="216"/>
      <c r="F885" s="72"/>
    </row>
    <row r="886" spans="1:6" ht="15.75" x14ac:dyDescent="0.25">
      <c r="A886" s="45"/>
      <c r="B886" s="47"/>
      <c r="C886" s="45"/>
      <c r="D886" s="216"/>
      <c r="E886" s="216"/>
      <c r="F886" s="72"/>
    </row>
    <row r="887" spans="1:6" ht="15.75" x14ac:dyDescent="0.25">
      <c r="A887" s="45"/>
      <c r="B887" s="47"/>
      <c r="C887" s="45"/>
      <c r="D887" s="216"/>
      <c r="E887" s="216"/>
      <c r="F887" s="72"/>
    </row>
    <row r="888" spans="1:6" ht="15.75" x14ac:dyDescent="0.25">
      <c r="A888" s="45"/>
      <c r="B888" s="47"/>
      <c r="C888" s="45"/>
      <c r="D888" s="216"/>
      <c r="E888" s="216"/>
      <c r="F888" s="72"/>
    </row>
    <row r="889" spans="1:6" ht="15.75" x14ac:dyDescent="0.25">
      <c r="A889" s="45"/>
      <c r="B889" s="47"/>
      <c r="C889" s="45"/>
      <c r="D889" s="216"/>
      <c r="E889" s="216"/>
      <c r="F889" s="72"/>
    </row>
    <row r="890" spans="1:6" ht="15.75" x14ac:dyDescent="0.25">
      <c r="A890" s="45"/>
      <c r="B890" s="47"/>
      <c r="C890" s="45"/>
      <c r="D890" s="216"/>
      <c r="E890" s="216"/>
      <c r="F890" s="72"/>
    </row>
    <row r="891" spans="1:6" ht="15.75" x14ac:dyDescent="0.25">
      <c r="A891" s="45"/>
      <c r="B891" s="47"/>
      <c r="C891" s="45"/>
      <c r="D891" s="216"/>
      <c r="E891" s="216"/>
      <c r="F891" s="72"/>
    </row>
    <row r="892" spans="1:6" ht="15.75" x14ac:dyDescent="0.25">
      <c r="A892" s="45"/>
      <c r="B892" s="47"/>
      <c r="C892" s="45"/>
      <c r="D892" s="216"/>
      <c r="E892" s="216"/>
      <c r="F892" s="72"/>
    </row>
    <row r="893" spans="1:6" ht="15.75" x14ac:dyDescent="0.25">
      <c r="A893" s="45"/>
      <c r="B893" s="47"/>
      <c r="C893" s="45"/>
      <c r="D893" s="216"/>
      <c r="E893" s="216"/>
      <c r="F893" s="72"/>
    </row>
    <row r="894" spans="1:6" ht="15.75" x14ac:dyDescent="0.25">
      <c r="A894" s="45"/>
      <c r="B894" s="47"/>
      <c r="C894" s="45"/>
      <c r="D894" s="216"/>
      <c r="E894" s="216"/>
      <c r="F894" s="72"/>
    </row>
    <row r="895" spans="1:6" ht="15.75" x14ac:dyDescent="0.25">
      <c r="A895" s="45"/>
      <c r="B895" s="47"/>
      <c r="C895" s="45"/>
      <c r="D895" s="216"/>
      <c r="E895" s="216"/>
      <c r="F895" s="72"/>
    </row>
    <row r="896" spans="1:6" ht="15.75" x14ac:dyDescent="0.25">
      <c r="A896" s="45"/>
      <c r="B896" s="47"/>
      <c r="C896" s="45"/>
      <c r="D896" s="216"/>
      <c r="E896" s="216"/>
      <c r="F896" s="72"/>
    </row>
    <row r="897" spans="1:6" ht="15.75" x14ac:dyDescent="0.25">
      <c r="A897" s="45"/>
      <c r="B897" s="47"/>
      <c r="C897" s="45"/>
      <c r="D897" s="216"/>
      <c r="E897" s="216"/>
      <c r="F897" s="72"/>
    </row>
    <row r="898" spans="1:6" ht="15.75" x14ac:dyDescent="0.25">
      <c r="A898" s="45"/>
      <c r="B898" s="47"/>
      <c r="C898" s="45"/>
      <c r="D898" s="216"/>
      <c r="E898" s="216"/>
      <c r="F898" s="72"/>
    </row>
    <row r="899" spans="1:6" ht="15.75" x14ac:dyDescent="0.25">
      <c r="A899" s="45"/>
      <c r="B899" s="47"/>
      <c r="C899" s="45"/>
      <c r="D899" s="216"/>
      <c r="E899" s="216"/>
      <c r="F899" s="72"/>
    </row>
    <row r="900" spans="1:6" ht="15.75" x14ac:dyDescent="0.25">
      <c r="A900" s="45"/>
      <c r="B900" s="47"/>
      <c r="C900" s="45"/>
      <c r="D900" s="216"/>
      <c r="E900" s="216"/>
      <c r="F900" s="72"/>
    </row>
    <row r="901" spans="1:6" ht="15.75" x14ac:dyDescent="0.25">
      <c r="A901" s="45"/>
      <c r="B901" s="47"/>
      <c r="C901" s="45"/>
      <c r="D901" s="216"/>
      <c r="E901" s="216"/>
      <c r="F901" s="72"/>
    </row>
    <row r="902" spans="1:6" ht="15.75" x14ac:dyDescent="0.25">
      <c r="A902" s="45"/>
      <c r="B902" s="47"/>
      <c r="C902" s="45"/>
      <c r="D902" s="216"/>
      <c r="E902" s="216"/>
      <c r="F902" s="72"/>
    </row>
    <row r="903" spans="1:6" ht="15.75" x14ac:dyDescent="0.25">
      <c r="A903" s="45"/>
      <c r="B903" s="47"/>
      <c r="C903" s="45"/>
      <c r="D903" s="216"/>
      <c r="E903" s="216"/>
      <c r="F903" s="72"/>
    </row>
    <row r="904" spans="1:6" ht="15.75" x14ac:dyDescent="0.25">
      <c r="A904" s="45"/>
      <c r="B904" s="47"/>
      <c r="C904" s="45"/>
      <c r="D904" s="216"/>
      <c r="E904" s="216"/>
      <c r="F904" s="72"/>
    </row>
    <row r="905" spans="1:6" ht="15.75" x14ac:dyDescent="0.25">
      <c r="A905" s="45"/>
      <c r="B905" s="47"/>
      <c r="C905" s="45"/>
      <c r="D905" s="216"/>
      <c r="E905" s="216"/>
      <c r="F905" s="72"/>
    </row>
    <row r="906" spans="1:6" ht="15.75" x14ac:dyDescent="0.25">
      <c r="A906" s="45"/>
      <c r="B906" s="47"/>
      <c r="C906" s="45"/>
      <c r="D906" s="216"/>
      <c r="E906" s="216"/>
      <c r="F906" s="72"/>
    </row>
    <row r="907" spans="1:6" ht="15.75" x14ac:dyDescent="0.25">
      <c r="A907" s="45"/>
      <c r="B907" s="47"/>
      <c r="C907" s="45"/>
      <c r="D907" s="216"/>
      <c r="E907" s="216"/>
      <c r="F907" s="72"/>
    </row>
    <row r="908" spans="1:6" ht="15.75" x14ac:dyDescent="0.25">
      <c r="A908" s="45"/>
      <c r="B908" s="47"/>
      <c r="C908" s="45"/>
      <c r="D908" s="216"/>
      <c r="E908" s="216"/>
      <c r="F908" s="72"/>
    </row>
    <row r="909" spans="1:6" ht="15.75" x14ac:dyDescent="0.25">
      <c r="A909" s="45"/>
      <c r="B909" s="47"/>
      <c r="C909" s="45"/>
      <c r="D909" s="216"/>
      <c r="E909" s="216"/>
      <c r="F909" s="72"/>
    </row>
    <row r="910" spans="1:6" ht="15.75" x14ac:dyDescent="0.25">
      <c r="A910" s="45"/>
      <c r="B910" s="47"/>
      <c r="C910" s="45"/>
      <c r="D910" s="216"/>
      <c r="E910" s="216"/>
      <c r="F910" s="72"/>
    </row>
    <row r="911" spans="1:6" ht="15.75" x14ac:dyDescent="0.25">
      <c r="A911" s="45"/>
      <c r="B911" s="47"/>
      <c r="C911" s="45"/>
      <c r="D911" s="216"/>
      <c r="E911" s="216"/>
      <c r="F911" s="72"/>
    </row>
    <row r="912" spans="1:6" ht="15.75" x14ac:dyDescent="0.25">
      <c r="A912" s="45"/>
      <c r="B912" s="47"/>
      <c r="C912" s="45"/>
      <c r="D912" s="216"/>
      <c r="E912" s="216"/>
      <c r="F912" s="72"/>
    </row>
    <row r="913" spans="1:6" ht="15.75" x14ac:dyDescent="0.25">
      <c r="A913" s="45"/>
      <c r="B913" s="47"/>
      <c r="C913" s="45"/>
      <c r="D913" s="216"/>
      <c r="E913" s="216"/>
      <c r="F913" s="72"/>
    </row>
    <row r="914" spans="1:6" ht="15.75" x14ac:dyDescent="0.25">
      <c r="A914" s="45"/>
      <c r="B914" s="47"/>
      <c r="C914" s="45"/>
      <c r="D914" s="216"/>
      <c r="E914" s="216"/>
      <c r="F914" s="72"/>
    </row>
    <row r="915" spans="1:6" ht="15.75" x14ac:dyDescent="0.25">
      <c r="A915" s="45"/>
      <c r="B915" s="47"/>
      <c r="C915" s="45"/>
      <c r="D915" s="216"/>
      <c r="E915" s="216"/>
      <c r="F915" s="72"/>
    </row>
    <row r="916" spans="1:6" ht="15.75" x14ac:dyDescent="0.25">
      <c r="A916" s="45"/>
      <c r="B916" s="47"/>
      <c r="C916" s="45"/>
      <c r="D916" s="216"/>
      <c r="E916" s="216"/>
      <c r="F916" s="72"/>
    </row>
    <row r="917" spans="1:6" ht="15.75" x14ac:dyDescent="0.25">
      <c r="A917" s="45"/>
      <c r="B917" s="47"/>
      <c r="C917" s="45"/>
      <c r="D917" s="216"/>
      <c r="E917" s="216"/>
      <c r="F917" s="72"/>
    </row>
    <row r="918" spans="1:6" ht="15.75" x14ac:dyDescent="0.25">
      <c r="A918" s="45"/>
      <c r="B918" s="47"/>
      <c r="C918" s="45"/>
      <c r="D918" s="216"/>
      <c r="E918" s="216"/>
      <c r="F918" s="72"/>
    </row>
    <row r="919" spans="1:6" ht="15.75" x14ac:dyDescent="0.25">
      <c r="A919" s="45"/>
      <c r="B919" s="47"/>
      <c r="C919" s="45"/>
      <c r="D919" s="216"/>
      <c r="E919" s="216"/>
      <c r="F919" s="72"/>
    </row>
    <row r="920" spans="1:6" ht="15.75" x14ac:dyDescent="0.25">
      <c r="A920" s="45"/>
      <c r="B920" s="47"/>
      <c r="C920" s="45"/>
      <c r="D920" s="216"/>
      <c r="E920" s="216"/>
      <c r="F920" s="72"/>
    </row>
    <row r="921" spans="1:6" ht="15.75" x14ac:dyDescent="0.25">
      <c r="A921" s="45"/>
      <c r="B921" s="47"/>
      <c r="C921" s="45"/>
      <c r="D921" s="216"/>
      <c r="E921" s="216"/>
      <c r="F921" s="72"/>
    </row>
    <row r="922" spans="1:6" ht="15.75" x14ac:dyDescent="0.25">
      <c r="A922" s="45"/>
      <c r="B922" s="47"/>
      <c r="C922" s="45"/>
      <c r="D922" s="216"/>
      <c r="E922" s="216"/>
      <c r="F922" s="72"/>
    </row>
    <row r="923" spans="1:6" ht="15.75" x14ac:dyDescent="0.25">
      <c r="A923" s="45"/>
      <c r="B923" s="47"/>
      <c r="C923" s="45"/>
      <c r="D923" s="216"/>
      <c r="E923" s="216"/>
      <c r="F923" s="72"/>
    </row>
    <row r="924" spans="1:6" ht="15.75" x14ac:dyDescent="0.25">
      <c r="A924" s="45"/>
      <c r="B924" s="47"/>
      <c r="C924" s="45"/>
      <c r="D924" s="216"/>
      <c r="E924" s="216"/>
      <c r="F924" s="72"/>
    </row>
    <row r="925" spans="1:6" ht="15.75" x14ac:dyDescent="0.25">
      <c r="A925" s="45"/>
      <c r="B925" s="47"/>
      <c r="C925" s="45"/>
      <c r="D925" s="216"/>
      <c r="E925" s="216"/>
      <c r="F925" s="72"/>
    </row>
    <row r="926" spans="1:6" ht="15.75" x14ac:dyDescent="0.25">
      <c r="A926" s="45"/>
      <c r="B926" s="47"/>
      <c r="C926" s="45"/>
      <c r="D926" s="216"/>
      <c r="E926" s="216"/>
    </row>
    <row r="927" spans="1:6" ht="15.75" x14ac:dyDescent="0.25">
      <c r="A927" s="45"/>
      <c r="B927" s="47"/>
      <c r="C927" s="45"/>
      <c r="D927" s="216"/>
      <c r="E927" s="216"/>
    </row>
    <row r="928" spans="1:6" ht="15.75" x14ac:dyDescent="0.25">
      <c r="A928" s="45"/>
      <c r="B928" s="47"/>
      <c r="C928" s="45"/>
      <c r="D928" s="216"/>
      <c r="E928" s="216"/>
    </row>
    <row r="929" spans="1:5" ht="15.75" x14ac:dyDescent="0.25">
      <c r="A929" s="45"/>
      <c r="B929" s="47"/>
      <c r="C929" s="45"/>
      <c r="D929" s="216"/>
      <c r="E929" s="216"/>
    </row>
    <row r="930" spans="1:5" ht="15.75" x14ac:dyDescent="0.25">
      <c r="A930" s="45"/>
      <c r="B930" s="47"/>
      <c r="C930" s="45"/>
      <c r="D930" s="216"/>
      <c r="E930" s="216"/>
    </row>
    <row r="931" spans="1:5" ht="15.75" x14ac:dyDescent="0.25">
      <c r="A931" s="45"/>
      <c r="B931" s="47"/>
      <c r="C931" s="45"/>
      <c r="D931" s="216"/>
      <c r="E931" s="216"/>
    </row>
    <row r="932" spans="1:5" ht="15.75" x14ac:dyDescent="0.25">
      <c r="A932" s="45"/>
      <c r="B932" s="47"/>
      <c r="C932" s="45"/>
      <c r="D932" s="216"/>
      <c r="E932" s="216"/>
    </row>
    <row r="933" spans="1:5" ht="15.75" x14ac:dyDescent="0.25">
      <c r="A933" s="45"/>
      <c r="B933" s="47"/>
      <c r="C933" s="45"/>
      <c r="D933" s="216"/>
      <c r="E933" s="216"/>
    </row>
    <row r="934" spans="1:5" ht="15.75" x14ac:dyDescent="0.25">
      <c r="A934" s="45"/>
      <c r="B934" s="47"/>
      <c r="C934" s="45"/>
      <c r="D934" s="216"/>
      <c r="E934" s="216"/>
    </row>
    <row r="935" spans="1:5" ht="15.75" x14ac:dyDescent="0.25">
      <c r="A935" s="45"/>
      <c r="B935" s="47"/>
      <c r="C935" s="45"/>
      <c r="D935" s="216"/>
      <c r="E935" s="216"/>
    </row>
    <row r="936" spans="1:5" ht="15.75" x14ac:dyDescent="0.25">
      <c r="A936" s="45"/>
      <c r="B936" s="47"/>
      <c r="C936" s="45"/>
      <c r="D936" s="216"/>
      <c r="E936" s="216"/>
    </row>
    <row r="937" spans="1:5" ht="15.75" x14ac:dyDescent="0.25">
      <c r="A937" s="45"/>
      <c r="B937" s="47"/>
      <c r="C937" s="45"/>
      <c r="D937" s="216"/>
      <c r="E937" s="216"/>
    </row>
    <row r="938" spans="1:5" ht="15.75" x14ac:dyDescent="0.25">
      <c r="A938" s="45"/>
      <c r="B938" s="47"/>
      <c r="C938" s="45"/>
      <c r="D938" s="216"/>
      <c r="E938" s="216"/>
    </row>
    <row r="939" spans="1:5" ht="15.75" x14ac:dyDescent="0.25">
      <c r="A939" s="45"/>
      <c r="B939" s="47"/>
      <c r="C939" s="45"/>
      <c r="D939" s="216"/>
      <c r="E939" s="216"/>
    </row>
    <row r="940" spans="1:5" ht="15.75" x14ac:dyDescent="0.25">
      <c r="A940" s="45"/>
      <c r="B940" s="47"/>
      <c r="C940" s="45"/>
      <c r="D940" s="216"/>
      <c r="E940" s="216"/>
    </row>
    <row r="941" spans="1:5" ht="15.75" x14ac:dyDescent="0.25">
      <c r="A941" s="45"/>
      <c r="B941" s="47"/>
      <c r="C941" s="45"/>
      <c r="D941" s="216"/>
      <c r="E941" s="216"/>
    </row>
    <row r="942" spans="1:5" ht="15.75" x14ac:dyDescent="0.25">
      <c r="A942" s="45"/>
      <c r="B942" s="47"/>
      <c r="C942" s="45"/>
      <c r="D942" s="216"/>
      <c r="E942" s="216"/>
    </row>
    <row r="943" spans="1:5" ht="15.75" x14ac:dyDescent="0.25">
      <c r="A943" s="45"/>
      <c r="B943" s="47"/>
      <c r="C943" s="45"/>
      <c r="D943" s="216"/>
      <c r="E943" s="216"/>
    </row>
    <row r="944" spans="1:5" ht="15.75" x14ac:dyDescent="0.25">
      <c r="A944" s="45"/>
      <c r="B944" s="45"/>
      <c r="C944" s="45"/>
      <c r="D944" s="216"/>
      <c r="E944" s="216"/>
    </row>
    <row r="945" spans="1:5" ht="15.75" x14ac:dyDescent="0.25">
      <c r="A945" s="45"/>
      <c r="B945" s="45"/>
      <c r="C945" s="45"/>
      <c r="D945" s="216"/>
      <c r="E945" s="216"/>
    </row>
    <row r="946" spans="1:5" ht="15.75" x14ac:dyDescent="0.25">
      <c r="A946" s="45"/>
      <c r="B946" s="45"/>
      <c r="C946" s="45"/>
      <c r="D946" s="216"/>
      <c r="E946" s="216"/>
    </row>
    <row r="947" spans="1:5" ht="15.75" x14ac:dyDescent="0.25">
      <c r="A947" s="45"/>
      <c r="B947" s="45"/>
      <c r="C947" s="45"/>
      <c r="D947" s="216"/>
      <c r="E947" s="216"/>
    </row>
    <row r="948" spans="1:5" ht="15.75" x14ac:dyDescent="0.25">
      <c r="A948" s="45"/>
      <c r="B948" s="45"/>
      <c r="C948" s="45"/>
      <c r="D948" s="216"/>
      <c r="E948" s="216"/>
    </row>
    <row r="949" spans="1:5" ht="15.75" x14ac:dyDescent="0.25">
      <c r="A949" s="45"/>
      <c r="B949" s="45"/>
      <c r="C949" s="45"/>
      <c r="D949" s="216"/>
      <c r="E949" s="216"/>
    </row>
    <row r="950" spans="1:5" ht="15.75" x14ac:dyDescent="0.25">
      <c r="A950" s="45"/>
      <c r="B950" s="45"/>
      <c r="C950" s="45"/>
      <c r="D950" s="216"/>
      <c r="E950" s="216"/>
    </row>
    <row r="951" spans="1:5" ht="15.75" x14ac:dyDescent="0.25">
      <c r="A951" s="45"/>
      <c r="B951" s="45"/>
      <c r="C951" s="45"/>
      <c r="D951" s="216"/>
      <c r="E951" s="216"/>
    </row>
    <row r="952" spans="1:5" ht="15.75" x14ac:dyDescent="0.25">
      <c r="A952" s="45"/>
      <c r="B952" s="48"/>
      <c r="C952" s="48"/>
      <c r="D952" s="217"/>
      <c r="E952" s="217"/>
    </row>
    <row r="953" spans="1:5" x14ac:dyDescent="0.2">
      <c r="A953" s="48"/>
      <c r="B953" s="48"/>
      <c r="C953" s="48"/>
      <c r="D953" s="217"/>
      <c r="E953" s="217"/>
    </row>
    <row r="954" spans="1:5" x14ac:dyDescent="0.2">
      <c r="A954" s="48"/>
      <c r="B954" s="48"/>
      <c r="C954" s="48"/>
      <c r="D954" s="217"/>
      <c r="E954" s="217"/>
    </row>
    <row r="955" spans="1:5" x14ac:dyDescent="0.2">
      <c r="A955" s="48"/>
      <c r="B955" s="48"/>
      <c r="C955" s="48"/>
      <c r="D955" s="217"/>
      <c r="E955" s="217"/>
    </row>
    <row r="956" spans="1:5" x14ac:dyDescent="0.2">
      <c r="A956" s="48"/>
      <c r="B956" s="48"/>
      <c r="C956" s="48"/>
      <c r="D956" s="217"/>
      <c r="E956" s="217"/>
    </row>
    <row r="957" spans="1:5" x14ac:dyDescent="0.2">
      <c r="A957" s="48"/>
      <c r="B957" s="48"/>
      <c r="C957" s="48"/>
      <c r="D957" s="217"/>
      <c r="E957" s="217"/>
    </row>
    <row r="958" spans="1:5" x14ac:dyDescent="0.2">
      <c r="A958" s="48"/>
      <c r="B958" s="48"/>
      <c r="C958" s="48"/>
      <c r="D958" s="217"/>
      <c r="E958" s="217"/>
    </row>
    <row r="959" spans="1:5" x14ac:dyDescent="0.2">
      <c r="A959" s="48"/>
      <c r="B959" s="48"/>
      <c r="C959" s="48"/>
      <c r="D959" s="217"/>
      <c r="E959" s="217"/>
    </row>
    <row r="960" spans="1:5" x14ac:dyDescent="0.2">
      <c r="A960" s="48"/>
      <c r="B960" s="48"/>
      <c r="C960" s="48"/>
      <c r="D960" s="217"/>
      <c r="E960" s="217"/>
    </row>
    <row r="961" spans="1:5" x14ac:dyDescent="0.2">
      <c r="A961" s="48"/>
      <c r="B961" s="48"/>
      <c r="C961" s="48"/>
      <c r="D961" s="217"/>
      <c r="E961" s="217"/>
    </row>
    <row r="962" spans="1:5" x14ac:dyDescent="0.2">
      <c r="A962" s="48"/>
      <c r="B962" s="48"/>
      <c r="C962" s="48"/>
      <c r="D962" s="217"/>
      <c r="E962" s="217"/>
    </row>
    <row r="963" spans="1:5" x14ac:dyDescent="0.2">
      <c r="A963" s="48"/>
      <c r="B963" s="48"/>
      <c r="C963" s="48"/>
      <c r="D963" s="217"/>
      <c r="E963" s="217"/>
    </row>
    <row r="964" spans="1:5" x14ac:dyDescent="0.2">
      <c r="A964" s="48"/>
      <c r="B964" s="48"/>
      <c r="C964" s="48"/>
      <c r="D964" s="217"/>
      <c r="E964" s="217"/>
    </row>
    <row r="965" spans="1:5" x14ac:dyDescent="0.2">
      <c r="A965" s="48"/>
      <c r="B965" s="48"/>
      <c r="C965" s="48"/>
      <c r="D965" s="217"/>
      <c r="E965" s="217"/>
    </row>
    <row r="966" spans="1:5" x14ac:dyDescent="0.2">
      <c r="A966" s="48"/>
      <c r="B966" s="48"/>
      <c r="C966" s="48"/>
      <c r="D966" s="217"/>
      <c r="E966" s="217"/>
    </row>
    <row r="967" spans="1:5" x14ac:dyDescent="0.2">
      <c r="A967" s="48"/>
      <c r="B967" s="48"/>
      <c r="C967" s="48"/>
      <c r="D967" s="217"/>
      <c r="E967" s="217"/>
    </row>
    <row r="968" spans="1:5" x14ac:dyDescent="0.2">
      <c r="A968" s="48"/>
      <c r="B968" s="48"/>
      <c r="C968" s="48"/>
      <c r="D968" s="217"/>
      <c r="E968" s="217"/>
    </row>
    <row r="969" spans="1:5" x14ac:dyDescent="0.2">
      <c r="A969" s="48"/>
      <c r="B969" s="48"/>
      <c r="C969" s="48"/>
      <c r="D969" s="217"/>
      <c r="E969" s="217"/>
    </row>
    <row r="970" spans="1:5" x14ac:dyDescent="0.2">
      <c r="A970" s="48"/>
      <c r="B970" s="48"/>
      <c r="C970" s="48"/>
      <c r="D970" s="217"/>
      <c r="E970" s="217"/>
    </row>
    <row r="971" spans="1:5" x14ac:dyDescent="0.2">
      <c r="A971" s="48"/>
      <c r="B971" s="48"/>
      <c r="C971" s="48"/>
      <c r="D971" s="217"/>
      <c r="E971" s="217"/>
    </row>
    <row r="972" spans="1:5" x14ac:dyDescent="0.2">
      <c r="A972" s="48"/>
      <c r="B972" s="48"/>
      <c r="C972" s="48"/>
      <c r="D972" s="217"/>
      <c r="E972" s="217"/>
    </row>
    <row r="973" spans="1:5" x14ac:dyDescent="0.2">
      <c r="A973" s="48"/>
      <c r="B973" s="48"/>
      <c r="C973" s="48"/>
      <c r="D973" s="217"/>
      <c r="E973" s="217"/>
    </row>
    <row r="974" spans="1:5" x14ac:dyDescent="0.2">
      <c r="A974" s="48"/>
      <c r="B974" s="48"/>
      <c r="C974" s="48"/>
      <c r="D974" s="217"/>
      <c r="E974" s="217"/>
    </row>
    <row r="975" spans="1:5" x14ac:dyDescent="0.2">
      <c r="A975" s="48"/>
      <c r="B975" s="48"/>
      <c r="C975" s="48"/>
      <c r="D975" s="217"/>
      <c r="E975" s="217"/>
    </row>
    <row r="976" spans="1:5" x14ac:dyDescent="0.2">
      <c r="A976" s="48"/>
      <c r="B976" s="48"/>
      <c r="C976" s="48"/>
      <c r="D976" s="217"/>
      <c r="E976" s="217"/>
    </row>
    <row r="977" spans="1:5" x14ac:dyDescent="0.2">
      <c r="A977" s="48"/>
      <c r="B977" s="48"/>
      <c r="C977" s="48"/>
      <c r="D977" s="217"/>
      <c r="E977" s="217"/>
    </row>
    <row r="978" spans="1:5" x14ac:dyDescent="0.2">
      <c r="A978" s="48"/>
      <c r="B978" s="48"/>
      <c r="C978" s="48"/>
      <c r="D978" s="217"/>
      <c r="E978" s="217"/>
    </row>
    <row r="979" spans="1:5" x14ac:dyDescent="0.2">
      <c r="A979" s="48"/>
      <c r="B979" s="48"/>
      <c r="C979" s="48"/>
      <c r="D979" s="217"/>
      <c r="E979" s="217"/>
    </row>
    <row r="980" spans="1:5" x14ac:dyDescent="0.2">
      <c r="A980" s="48"/>
      <c r="B980" s="48"/>
      <c r="C980" s="48"/>
      <c r="D980" s="217"/>
      <c r="E980" s="217"/>
    </row>
    <row r="981" spans="1:5" x14ac:dyDescent="0.2">
      <c r="A981" s="48"/>
      <c r="B981" s="48"/>
      <c r="C981" s="48"/>
      <c r="D981" s="217"/>
      <c r="E981" s="217"/>
    </row>
  </sheetData>
  <mergeCells count="5">
    <mergeCell ref="A1:D1"/>
    <mergeCell ref="A3:D3"/>
    <mergeCell ref="A6:D8"/>
    <mergeCell ref="A4:E4"/>
    <mergeCell ref="A2:E2"/>
  </mergeCells>
  <pageMargins left="1.1811023622047245" right="0.39370078740157483" top="0.59055118110236227" bottom="0.78740157480314965" header="0.51181102362204722" footer="0.51181102362204722"/>
  <pageSetup paperSize="9" scale="60" fitToHeight="38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L1729"/>
  <sheetViews>
    <sheetView zoomScale="70" zoomScaleNormal="7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5" sqref="A5"/>
    </sheetView>
  </sheetViews>
  <sheetFormatPr defaultColWidth="9.140625" defaultRowHeight="18.75" outlineLevelRow="2" x14ac:dyDescent="0.3"/>
  <cols>
    <col min="1" max="1" width="63.42578125" style="100" customWidth="1"/>
    <col min="2" max="2" width="10.28515625" style="100" customWidth="1"/>
    <col min="3" max="4" width="9.140625" style="100"/>
    <col min="5" max="5" width="17.7109375" style="100" customWidth="1"/>
    <col min="6" max="6" width="9.140625" style="100"/>
    <col min="7" max="7" width="19" style="192" customWidth="1"/>
    <col min="8" max="8" width="18.7109375" style="192" customWidth="1"/>
    <col min="9" max="9" width="17.140625" style="100" hidden="1" customWidth="1"/>
    <col min="10" max="10" width="15.42578125" style="100" hidden="1" customWidth="1"/>
    <col min="11" max="11" width="15.28515625" style="100" hidden="1" customWidth="1"/>
    <col min="12" max="12" width="12.85546875" style="100" hidden="1" customWidth="1"/>
    <col min="13" max="15" width="9.140625" style="100" hidden="1" customWidth="1"/>
    <col min="16" max="16" width="12.42578125" style="100" hidden="1" customWidth="1"/>
    <col min="17" max="17" width="9.140625" style="100" hidden="1" customWidth="1"/>
    <col min="18" max="18" width="12.5703125" style="100" hidden="1" customWidth="1"/>
    <col min="19" max="19" width="10.7109375" style="100" hidden="1" customWidth="1"/>
    <col min="20" max="20" width="12.42578125" style="100" hidden="1" customWidth="1"/>
    <col min="21" max="21" width="18.140625" style="100" hidden="1" customWidth="1"/>
    <col min="22" max="23" width="9.140625" style="100" hidden="1" customWidth="1"/>
    <col min="24" max="24" width="16.7109375" style="100" hidden="1" customWidth="1"/>
    <col min="25" max="26" width="9.140625" style="100" hidden="1" customWidth="1"/>
    <col min="27" max="27" width="14.42578125" style="100" hidden="1" customWidth="1"/>
    <col min="28" max="28" width="9.140625" style="100" hidden="1" customWidth="1"/>
    <col min="29" max="29" width="13.28515625" style="100" hidden="1" customWidth="1"/>
    <col min="30" max="30" width="12.42578125" style="100" hidden="1" customWidth="1"/>
    <col min="31" max="31" width="16.42578125" style="100" hidden="1" customWidth="1"/>
    <col min="32" max="32" width="19.85546875" style="100" hidden="1" customWidth="1"/>
    <col min="33" max="34" width="11.7109375" style="100" hidden="1" customWidth="1"/>
    <col min="35" max="35" width="22.42578125" style="100" hidden="1" customWidth="1"/>
    <col min="36" max="37" width="9.140625" style="100" hidden="1" customWidth="1"/>
    <col min="38" max="38" width="14" style="102" hidden="1" customWidth="1"/>
    <col min="39" max="39" width="18.28515625" style="102" hidden="1" customWidth="1"/>
    <col min="40" max="40" width="15.5703125" style="100" hidden="1" customWidth="1"/>
    <col min="41" max="41" width="15.5703125" style="103" hidden="1" customWidth="1"/>
    <col min="42" max="42" width="14.5703125" style="100" hidden="1" customWidth="1"/>
    <col min="43" max="43" width="13.5703125" style="100" hidden="1" customWidth="1"/>
    <col min="44" max="44" width="13.42578125" style="101" hidden="1" customWidth="1"/>
    <col min="45" max="45" width="16.42578125" style="101" hidden="1" customWidth="1"/>
    <col min="46" max="46" width="17.140625" style="101" hidden="1" customWidth="1"/>
    <col min="47" max="47" width="16.5703125" style="101" hidden="1" customWidth="1"/>
    <col min="48" max="48" width="0" style="100" hidden="1" customWidth="1"/>
    <col min="49" max="50" width="0" style="219" hidden="1" customWidth="1"/>
    <col min="51" max="51" width="10.7109375" style="100" hidden="1" customWidth="1"/>
    <col min="52" max="52" width="0" style="100" hidden="1" customWidth="1"/>
    <col min="53" max="53" width="17.28515625" style="227" hidden="1" customWidth="1"/>
    <col min="54" max="54" width="17.85546875" style="223" hidden="1" customWidth="1"/>
    <col min="55" max="55" width="19.42578125" style="236" hidden="1" customWidth="1"/>
    <col min="56" max="56" width="19.85546875" style="237" hidden="1" customWidth="1"/>
    <col min="57" max="58" width="0" style="100" hidden="1" customWidth="1"/>
    <col min="59" max="16384" width="9.140625" style="100"/>
  </cols>
  <sheetData>
    <row r="1" spans="1:56" x14ac:dyDescent="0.3">
      <c r="A1" s="267" t="s">
        <v>739</v>
      </c>
      <c r="B1" s="267"/>
      <c r="C1" s="267"/>
      <c r="D1" s="267"/>
      <c r="E1" s="267"/>
      <c r="F1" s="267"/>
      <c r="G1" s="267"/>
      <c r="H1" s="209"/>
      <c r="BA1" s="223"/>
      <c r="BC1" s="223"/>
      <c r="BD1" s="223"/>
    </row>
    <row r="2" spans="1:56" x14ac:dyDescent="0.3">
      <c r="A2" s="268" t="s">
        <v>422</v>
      </c>
      <c r="B2" s="268"/>
      <c r="C2" s="268"/>
      <c r="D2" s="268"/>
      <c r="E2" s="268"/>
      <c r="F2" s="268"/>
      <c r="G2" s="268"/>
      <c r="H2" s="209"/>
      <c r="BA2" s="223"/>
      <c r="BC2" s="223"/>
      <c r="BD2" s="223"/>
    </row>
    <row r="3" spans="1:56" x14ac:dyDescent="0.3">
      <c r="A3" s="268" t="s">
        <v>423</v>
      </c>
      <c r="B3" s="268"/>
      <c r="C3" s="268"/>
      <c r="D3" s="268"/>
      <c r="E3" s="268"/>
      <c r="F3" s="268"/>
      <c r="G3" s="268"/>
      <c r="H3" s="209"/>
      <c r="BA3" s="223"/>
      <c r="BC3" s="223"/>
      <c r="BD3" s="223"/>
    </row>
    <row r="4" spans="1:56" x14ac:dyDescent="0.3">
      <c r="A4" s="270" t="s">
        <v>896</v>
      </c>
      <c r="B4" s="271"/>
      <c r="C4" s="271"/>
      <c r="D4" s="271"/>
      <c r="E4" s="271"/>
      <c r="F4" s="271"/>
      <c r="G4" s="271"/>
      <c r="H4" s="210"/>
      <c r="BA4" s="223"/>
      <c r="BC4" s="223"/>
      <c r="BD4" s="223"/>
    </row>
    <row r="5" spans="1:56" ht="29.25" customHeight="1" x14ac:dyDescent="0.3">
      <c r="BA5" s="223"/>
      <c r="BC5" s="223"/>
      <c r="BD5" s="223"/>
    </row>
    <row r="6" spans="1:56" x14ac:dyDescent="0.3">
      <c r="A6" s="269" t="s">
        <v>108</v>
      </c>
      <c r="B6" s="269"/>
      <c r="C6" s="269"/>
      <c r="D6" s="269"/>
      <c r="E6" s="269"/>
      <c r="F6" s="269"/>
      <c r="G6" s="269"/>
      <c r="H6" s="211"/>
      <c r="BA6" s="223"/>
      <c r="BC6" s="223"/>
      <c r="BD6" s="223"/>
    </row>
    <row r="7" spans="1:56" ht="24" customHeight="1" x14ac:dyDescent="0.3">
      <c r="AN7" s="265">
        <v>2023</v>
      </c>
      <c r="AO7" s="265"/>
      <c r="AP7" s="265">
        <v>2024</v>
      </c>
      <c r="AQ7" s="265"/>
      <c r="AR7" s="266">
        <v>2024</v>
      </c>
      <c r="AS7" s="266"/>
      <c r="AT7" s="101">
        <v>2025</v>
      </c>
      <c r="AW7" s="264">
        <v>2024</v>
      </c>
      <c r="AX7" s="264"/>
      <c r="AY7" s="265">
        <v>2025</v>
      </c>
      <c r="AZ7" s="265"/>
      <c r="BA7" s="228" t="s">
        <v>765</v>
      </c>
      <c r="BB7" s="229"/>
      <c r="BC7" s="230" t="s">
        <v>764</v>
      </c>
      <c r="BD7" s="231"/>
    </row>
    <row r="8" spans="1:56" ht="93.75" x14ac:dyDescent="0.3">
      <c r="A8" s="104" t="s">
        <v>47</v>
      </c>
      <c r="B8" s="104" t="s">
        <v>109</v>
      </c>
      <c r="C8" s="105" t="s">
        <v>110</v>
      </c>
      <c r="D8" s="105" t="s">
        <v>111</v>
      </c>
      <c r="E8" s="105" t="s">
        <v>48</v>
      </c>
      <c r="F8" s="105" t="s">
        <v>112</v>
      </c>
      <c r="G8" s="106" t="s">
        <v>768</v>
      </c>
      <c r="H8" s="106" t="s">
        <v>855</v>
      </c>
      <c r="I8" s="107" t="s">
        <v>546</v>
      </c>
      <c r="J8" s="107" t="s">
        <v>547</v>
      </c>
      <c r="K8" s="107" t="s">
        <v>548</v>
      </c>
      <c r="L8" s="107" t="s">
        <v>548</v>
      </c>
      <c r="M8" s="107" t="s">
        <v>546</v>
      </c>
      <c r="R8" s="108" t="s">
        <v>671</v>
      </c>
      <c r="S8" s="100" t="s">
        <v>672</v>
      </c>
      <c r="U8" s="100" t="s">
        <v>693</v>
      </c>
      <c r="V8" s="100" t="s">
        <v>546</v>
      </c>
      <c r="W8" s="100" t="s">
        <v>705</v>
      </c>
      <c r="X8" s="100" t="s">
        <v>547</v>
      </c>
      <c r="AC8" s="100" t="s">
        <v>716</v>
      </c>
      <c r="AD8" s="100" t="s">
        <v>547</v>
      </c>
      <c r="AE8" s="109" t="s">
        <v>731</v>
      </c>
      <c r="AF8" s="109" t="s">
        <v>732</v>
      </c>
      <c r="AG8" s="109" t="s">
        <v>727</v>
      </c>
      <c r="AH8" s="109"/>
      <c r="AL8" s="110">
        <v>2023</v>
      </c>
      <c r="AM8" s="110">
        <v>2024</v>
      </c>
      <c r="AN8" s="109" t="s">
        <v>546</v>
      </c>
      <c r="AO8" s="111" t="s">
        <v>705</v>
      </c>
      <c r="AP8" s="109" t="s">
        <v>546</v>
      </c>
      <c r="AQ8" s="109" t="s">
        <v>705</v>
      </c>
      <c r="AR8" s="112" t="s">
        <v>705</v>
      </c>
      <c r="AS8" s="112" t="s">
        <v>750</v>
      </c>
      <c r="AT8" s="112" t="s">
        <v>705</v>
      </c>
      <c r="AU8" s="112" t="s">
        <v>750</v>
      </c>
      <c r="AW8" s="220" t="s">
        <v>705</v>
      </c>
      <c r="AX8" s="220" t="s">
        <v>750</v>
      </c>
      <c r="AY8" s="207" t="s">
        <v>705</v>
      </c>
      <c r="AZ8" s="207" t="s">
        <v>750</v>
      </c>
      <c r="BA8" s="232">
        <v>2025</v>
      </c>
      <c r="BB8" s="233">
        <v>2026</v>
      </c>
      <c r="BC8" s="234">
        <v>2025</v>
      </c>
      <c r="BD8" s="235">
        <v>2026</v>
      </c>
    </row>
    <row r="9" spans="1:56" x14ac:dyDescent="0.3">
      <c r="A9" s="113" t="s">
        <v>49</v>
      </c>
      <c r="B9" s="114" t="s">
        <v>51</v>
      </c>
      <c r="C9" s="114" t="s">
        <v>113</v>
      </c>
      <c r="D9" s="114" t="s">
        <v>113</v>
      </c>
      <c r="E9" s="114" t="s">
        <v>50</v>
      </c>
      <c r="F9" s="114" t="s">
        <v>51</v>
      </c>
      <c r="G9" s="93">
        <f>G10+G19+G335+G386+G433+G1242</f>
        <v>1133564.2500000002</v>
      </c>
      <c r="H9" s="93">
        <f>H10+H19+H335+H386+H433+H1242</f>
        <v>1065830.6500000001</v>
      </c>
      <c r="I9" s="102"/>
    </row>
    <row r="10" spans="1:56" ht="37.5" hidden="1" x14ac:dyDescent="0.3">
      <c r="A10" s="115" t="s">
        <v>349</v>
      </c>
      <c r="B10" s="116" t="s">
        <v>114</v>
      </c>
      <c r="C10" s="117" t="s">
        <v>113</v>
      </c>
      <c r="D10" s="117" t="s">
        <v>113</v>
      </c>
      <c r="E10" s="117" t="s">
        <v>50</v>
      </c>
      <c r="F10" s="117" t="s">
        <v>51</v>
      </c>
      <c r="G10" s="93">
        <f t="shared" ref="G10:H13" si="0">G11</f>
        <v>0</v>
      </c>
      <c r="H10" s="93">
        <f t="shared" si="0"/>
        <v>0</v>
      </c>
      <c r="I10" s="102"/>
    </row>
    <row r="11" spans="1:56" hidden="1" x14ac:dyDescent="0.3">
      <c r="A11" s="113" t="s">
        <v>115</v>
      </c>
      <c r="B11" s="118">
        <v>903</v>
      </c>
      <c r="C11" s="114" t="s">
        <v>116</v>
      </c>
      <c r="D11" s="114" t="s">
        <v>113</v>
      </c>
      <c r="E11" s="114" t="s">
        <v>50</v>
      </c>
      <c r="F11" s="114" t="s">
        <v>51</v>
      </c>
      <c r="G11" s="93">
        <f t="shared" si="0"/>
        <v>0</v>
      </c>
      <c r="H11" s="93">
        <f t="shared" si="0"/>
        <v>0</v>
      </c>
      <c r="I11" s="102"/>
    </row>
    <row r="12" spans="1:56" ht="56.25" hidden="1" x14ac:dyDescent="0.3">
      <c r="A12" s="119" t="s">
        <v>119</v>
      </c>
      <c r="B12" s="118">
        <v>903</v>
      </c>
      <c r="C12" s="114" t="s">
        <v>116</v>
      </c>
      <c r="D12" s="114" t="s">
        <v>120</v>
      </c>
      <c r="E12" s="114" t="s">
        <v>50</v>
      </c>
      <c r="F12" s="120" t="s">
        <v>51</v>
      </c>
      <c r="G12" s="93">
        <f t="shared" si="0"/>
        <v>0</v>
      </c>
      <c r="H12" s="93">
        <f t="shared" si="0"/>
        <v>0</v>
      </c>
      <c r="I12" s="102"/>
    </row>
    <row r="13" spans="1:56" ht="57" hidden="1" customHeight="1" x14ac:dyDescent="0.3">
      <c r="A13" s="121" t="s">
        <v>421</v>
      </c>
      <c r="B13" s="122">
        <v>903</v>
      </c>
      <c r="C13" s="91" t="s">
        <v>116</v>
      </c>
      <c r="D13" s="91" t="s">
        <v>120</v>
      </c>
      <c r="E13" s="123" t="s">
        <v>403</v>
      </c>
      <c r="F13" s="91" t="s">
        <v>51</v>
      </c>
      <c r="G13" s="74">
        <f t="shared" si="0"/>
        <v>0</v>
      </c>
      <c r="H13" s="74">
        <f t="shared" si="0"/>
        <v>0</v>
      </c>
      <c r="I13" s="102"/>
    </row>
    <row r="14" spans="1:56" ht="57" hidden="1" customHeight="1" x14ac:dyDescent="0.3">
      <c r="A14" s="124" t="s">
        <v>104</v>
      </c>
      <c r="B14" s="122">
        <v>903</v>
      </c>
      <c r="C14" s="91" t="s">
        <v>116</v>
      </c>
      <c r="D14" s="91" t="s">
        <v>120</v>
      </c>
      <c r="E14" s="123" t="s">
        <v>511</v>
      </c>
      <c r="F14" s="91" t="s">
        <v>51</v>
      </c>
      <c r="G14" s="74">
        <f>G15+G17</f>
        <v>0</v>
      </c>
      <c r="H14" s="74">
        <f>H15+H17</f>
        <v>0</v>
      </c>
      <c r="I14" s="102"/>
    </row>
    <row r="15" spans="1:56" ht="37.5" hidden="1" x14ac:dyDescent="0.3">
      <c r="A15" s="124" t="s">
        <v>106</v>
      </c>
      <c r="B15" s="122">
        <v>903</v>
      </c>
      <c r="C15" s="91" t="s">
        <v>116</v>
      </c>
      <c r="D15" s="91" t="s">
        <v>120</v>
      </c>
      <c r="E15" s="123" t="s">
        <v>404</v>
      </c>
      <c r="F15" s="123" t="s">
        <v>51</v>
      </c>
      <c r="G15" s="74">
        <f>G16</f>
        <v>0</v>
      </c>
      <c r="H15" s="74">
        <f>H16</f>
        <v>0</v>
      </c>
      <c r="I15" s="102"/>
    </row>
    <row r="16" spans="1:56" ht="94.5" hidden="1" customHeight="1" x14ac:dyDescent="0.3">
      <c r="A16" s="124" t="s">
        <v>57</v>
      </c>
      <c r="B16" s="122">
        <v>903</v>
      </c>
      <c r="C16" s="91" t="s">
        <v>116</v>
      </c>
      <c r="D16" s="91" t="s">
        <v>120</v>
      </c>
      <c r="E16" s="123" t="s">
        <v>404</v>
      </c>
      <c r="F16" s="123" t="s">
        <v>58</v>
      </c>
      <c r="G16" s="74">
        <v>0</v>
      </c>
      <c r="H16" s="74">
        <v>0</v>
      </c>
      <c r="I16" s="102"/>
    </row>
    <row r="17" spans="1:64" ht="47.25" hidden="1" customHeight="1" x14ac:dyDescent="0.3">
      <c r="A17" s="125" t="s">
        <v>377</v>
      </c>
      <c r="B17" s="122">
        <v>903</v>
      </c>
      <c r="C17" s="91" t="s">
        <v>116</v>
      </c>
      <c r="D17" s="91" t="s">
        <v>120</v>
      </c>
      <c r="E17" s="123" t="s">
        <v>525</v>
      </c>
      <c r="F17" s="123" t="s">
        <v>51</v>
      </c>
      <c r="G17" s="74">
        <f>G18</f>
        <v>0</v>
      </c>
      <c r="H17" s="74">
        <f>H18</f>
        <v>0</v>
      </c>
      <c r="I17" s="102"/>
    </row>
    <row r="18" spans="1:64" ht="94.5" hidden="1" customHeight="1" x14ac:dyDescent="0.3">
      <c r="A18" s="124" t="s">
        <v>57</v>
      </c>
      <c r="B18" s="122">
        <v>903</v>
      </c>
      <c r="C18" s="91" t="s">
        <v>116</v>
      </c>
      <c r="D18" s="91" t="s">
        <v>120</v>
      </c>
      <c r="E18" s="123" t="s">
        <v>525</v>
      </c>
      <c r="F18" s="123" t="s">
        <v>58</v>
      </c>
      <c r="G18" s="74">
        <v>0</v>
      </c>
      <c r="H18" s="74">
        <v>0</v>
      </c>
      <c r="I18" s="102"/>
      <c r="AE18" s="100">
        <v>85</v>
      </c>
    </row>
    <row r="19" spans="1:64" ht="56.25" x14ac:dyDescent="0.3">
      <c r="A19" s="115" t="s">
        <v>745</v>
      </c>
      <c r="B19" s="239">
        <v>905</v>
      </c>
      <c r="C19" s="240" t="s">
        <v>113</v>
      </c>
      <c r="D19" s="240" t="s">
        <v>113</v>
      </c>
      <c r="E19" s="240" t="s">
        <v>50</v>
      </c>
      <c r="F19" s="240" t="s">
        <v>51</v>
      </c>
      <c r="G19" s="241">
        <f>G20+G36+G277+G286+G329</f>
        <v>764585.07000000007</v>
      </c>
      <c r="H19" s="241">
        <f>H20+H36+H277+H286+H329</f>
        <v>683182.37000000011</v>
      </c>
      <c r="I19" s="102"/>
    </row>
    <row r="20" spans="1:64" x14ac:dyDescent="0.3">
      <c r="A20" s="113" t="s">
        <v>115</v>
      </c>
      <c r="B20" s="118">
        <v>905</v>
      </c>
      <c r="C20" s="114" t="s">
        <v>116</v>
      </c>
      <c r="D20" s="114" t="s">
        <v>113</v>
      </c>
      <c r="E20" s="114" t="s">
        <v>50</v>
      </c>
      <c r="F20" s="114" t="s">
        <v>51</v>
      </c>
      <c r="G20" s="93">
        <f>G21</f>
        <v>2900.6</v>
      </c>
      <c r="H20" s="93">
        <f>H21</f>
        <v>2900.6</v>
      </c>
      <c r="I20" s="102"/>
    </row>
    <row r="21" spans="1:64" ht="75" x14ac:dyDescent="0.3">
      <c r="A21" s="113" t="s">
        <v>121</v>
      </c>
      <c r="B21" s="118">
        <v>905</v>
      </c>
      <c r="C21" s="114" t="s">
        <v>116</v>
      </c>
      <c r="D21" s="114" t="s">
        <v>122</v>
      </c>
      <c r="E21" s="114" t="s">
        <v>50</v>
      </c>
      <c r="F21" s="114" t="s">
        <v>51</v>
      </c>
      <c r="G21" s="93">
        <f>G28+G22</f>
        <v>2900.6</v>
      </c>
      <c r="H21" s="93">
        <f>H28+H22</f>
        <v>2900.6</v>
      </c>
      <c r="I21" s="102"/>
      <c r="BL21" s="192"/>
    </row>
    <row r="22" spans="1:64" ht="40.5" hidden="1" customHeight="1" x14ac:dyDescent="0.3">
      <c r="A22" s="126" t="s">
        <v>38</v>
      </c>
      <c r="B22" s="127">
        <v>905</v>
      </c>
      <c r="C22" s="128" t="s">
        <v>116</v>
      </c>
      <c r="D22" s="128" t="s">
        <v>122</v>
      </c>
      <c r="E22" s="129" t="s">
        <v>406</v>
      </c>
      <c r="F22" s="129" t="s">
        <v>51</v>
      </c>
      <c r="G22" s="74">
        <f t="shared" ref="G22:H25" si="1">G23</f>
        <v>0</v>
      </c>
      <c r="H22" s="74">
        <f t="shared" si="1"/>
        <v>0</v>
      </c>
      <c r="I22" s="102"/>
    </row>
    <row r="23" spans="1:64" ht="56.25" hidden="1" x14ac:dyDescent="0.3">
      <c r="A23" s="124" t="s">
        <v>139</v>
      </c>
      <c r="B23" s="127">
        <v>905</v>
      </c>
      <c r="C23" s="128" t="s">
        <v>116</v>
      </c>
      <c r="D23" s="128" t="s">
        <v>122</v>
      </c>
      <c r="E23" s="128" t="s">
        <v>52</v>
      </c>
      <c r="F23" s="128" t="s">
        <v>51</v>
      </c>
      <c r="G23" s="74">
        <f t="shared" si="1"/>
        <v>0</v>
      </c>
      <c r="H23" s="74">
        <f t="shared" si="1"/>
        <v>0</v>
      </c>
      <c r="I23" s="102"/>
    </row>
    <row r="24" spans="1:64" hidden="1" x14ac:dyDescent="0.3">
      <c r="A24" s="130" t="s">
        <v>63</v>
      </c>
      <c r="B24" s="127">
        <v>905</v>
      </c>
      <c r="C24" s="128" t="s">
        <v>116</v>
      </c>
      <c r="D24" s="128" t="s">
        <v>122</v>
      </c>
      <c r="E24" s="128" t="s">
        <v>64</v>
      </c>
      <c r="F24" s="128" t="s">
        <v>51</v>
      </c>
      <c r="G24" s="74">
        <f t="shared" si="1"/>
        <v>0</v>
      </c>
      <c r="H24" s="74">
        <f t="shared" si="1"/>
        <v>0</v>
      </c>
      <c r="I24" s="102"/>
    </row>
    <row r="25" spans="1:64" hidden="1" x14ac:dyDescent="0.3">
      <c r="A25" s="130" t="s">
        <v>405</v>
      </c>
      <c r="B25" s="127">
        <v>905</v>
      </c>
      <c r="C25" s="128" t="s">
        <v>116</v>
      </c>
      <c r="D25" s="128" t="s">
        <v>122</v>
      </c>
      <c r="E25" s="128" t="s">
        <v>416</v>
      </c>
      <c r="F25" s="128" t="s">
        <v>51</v>
      </c>
      <c r="G25" s="74">
        <f t="shared" si="1"/>
        <v>0</v>
      </c>
      <c r="H25" s="74">
        <f t="shared" si="1"/>
        <v>0</v>
      </c>
      <c r="I25" s="102"/>
    </row>
    <row r="26" spans="1:64" ht="37.5" hidden="1" x14ac:dyDescent="0.3">
      <c r="A26" s="124" t="s">
        <v>433</v>
      </c>
      <c r="B26" s="127">
        <v>905</v>
      </c>
      <c r="C26" s="128" t="s">
        <v>116</v>
      </c>
      <c r="D26" s="128" t="s">
        <v>122</v>
      </c>
      <c r="E26" s="128" t="s">
        <v>416</v>
      </c>
      <c r="F26" s="128" t="s">
        <v>60</v>
      </c>
      <c r="G26" s="74">
        <v>0</v>
      </c>
      <c r="H26" s="74">
        <v>0</v>
      </c>
      <c r="I26" s="102"/>
      <c r="J26" s="100">
        <v>65</v>
      </c>
      <c r="AI26" s="100">
        <v>52</v>
      </c>
      <c r="AL26" s="102">
        <v>0</v>
      </c>
      <c r="AM26" s="102">
        <v>0</v>
      </c>
    </row>
    <row r="27" spans="1:64" hidden="1" x14ac:dyDescent="0.3">
      <c r="A27" s="124"/>
      <c r="B27" s="127"/>
      <c r="C27" s="128"/>
      <c r="D27" s="128"/>
      <c r="E27" s="128" t="s">
        <v>553</v>
      </c>
      <c r="F27" s="128" t="s">
        <v>60</v>
      </c>
      <c r="G27" s="74"/>
      <c r="H27" s="74"/>
      <c r="I27" s="102"/>
    </row>
    <row r="28" spans="1:64" ht="56.25" x14ac:dyDescent="0.3">
      <c r="A28" s="131" t="s">
        <v>16</v>
      </c>
      <c r="B28" s="122">
        <v>905</v>
      </c>
      <c r="C28" s="91" t="s">
        <v>116</v>
      </c>
      <c r="D28" s="91" t="s">
        <v>122</v>
      </c>
      <c r="E28" s="123" t="s">
        <v>32</v>
      </c>
      <c r="F28" s="123" t="s">
        <v>51</v>
      </c>
      <c r="G28" s="74">
        <f>G29</f>
        <v>2900.6</v>
      </c>
      <c r="H28" s="74">
        <f>H29</f>
        <v>2900.6</v>
      </c>
      <c r="I28" s="102"/>
    </row>
    <row r="29" spans="1:64" ht="42.75" customHeight="1" x14ac:dyDescent="0.3">
      <c r="A29" s="125" t="s">
        <v>18</v>
      </c>
      <c r="B29" s="122">
        <v>905</v>
      </c>
      <c r="C29" s="91" t="s">
        <v>116</v>
      </c>
      <c r="D29" s="91" t="s">
        <v>122</v>
      </c>
      <c r="E29" s="123" t="s">
        <v>34</v>
      </c>
      <c r="F29" s="123" t="s">
        <v>51</v>
      </c>
      <c r="G29" s="74">
        <f>G30</f>
        <v>2900.6</v>
      </c>
      <c r="H29" s="74">
        <f>H30</f>
        <v>2900.6</v>
      </c>
      <c r="I29" s="102"/>
    </row>
    <row r="30" spans="1:64" ht="78" customHeight="1" x14ac:dyDescent="0.3">
      <c r="A30" s="124" t="s">
        <v>104</v>
      </c>
      <c r="B30" s="122">
        <v>905</v>
      </c>
      <c r="C30" s="91" t="s">
        <v>116</v>
      </c>
      <c r="D30" s="91" t="s">
        <v>122</v>
      </c>
      <c r="E30" s="123" t="s">
        <v>36</v>
      </c>
      <c r="F30" s="123" t="s">
        <v>51</v>
      </c>
      <c r="G30" s="74">
        <f>G31+G34</f>
        <v>2900.6</v>
      </c>
      <c r="H30" s="74">
        <f>H31+H34</f>
        <v>2900.6</v>
      </c>
      <c r="I30" s="102"/>
    </row>
    <row r="31" spans="1:64" x14ac:dyDescent="0.3">
      <c r="A31" s="124" t="s">
        <v>105</v>
      </c>
      <c r="B31" s="122">
        <v>905</v>
      </c>
      <c r="C31" s="91" t="s">
        <v>116</v>
      </c>
      <c r="D31" s="91" t="s">
        <v>122</v>
      </c>
      <c r="E31" s="91" t="s">
        <v>37</v>
      </c>
      <c r="F31" s="91" t="s">
        <v>51</v>
      </c>
      <c r="G31" s="74">
        <f>G32+G33</f>
        <v>2900.6</v>
      </c>
      <c r="H31" s="74">
        <f>H32+H33</f>
        <v>2900.6</v>
      </c>
      <c r="I31" s="102"/>
    </row>
    <row r="32" spans="1:64" ht="93.75" x14ac:dyDescent="0.3">
      <c r="A32" s="124" t="s">
        <v>57</v>
      </c>
      <c r="B32" s="122">
        <v>905</v>
      </c>
      <c r="C32" s="91" t="s">
        <v>116</v>
      </c>
      <c r="D32" s="91" t="s">
        <v>122</v>
      </c>
      <c r="E32" s="123" t="s">
        <v>37</v>
      </c>
      <c r="F32" s="123" t="s">
        <v>58</v>
      </c>
      <c r="G32" s="74">
        <v>2648.7</v>
      </c>
      <c r="H32" s="74">
        <v>2648.7</v>
      </c>
      <c r="I32" s="102"/>
      <c r="AI32" s="100">
        <v>2059.8000000000002</v>
      </c>
      <c r="AL32" s="102">
        <v>2059.8000000000002</v>
      </c>
      <c r="AM32" s="102">
        <v>2059.8000000000002</v>
      </c>
      <c r="AR32" s="101">
        <v>2293.6999999999998</v>
      </c>
      <c r="AT32" s="101">
        <v>2293.6999999999998</v>
      </c>
      <c r="BA32" s="227">
        <v>2648.7</v>
      </c>
      <c r="BB32" s="223">
        <v>2648.7</v>
      </c>
    </row>
    <row r="33" spans="1:54" ht="37.5" x14ac:dyDescent="0.3">
      <c r="A33" s="124" t="s">
        <v>433</v>
      </c>
      <c r="B33" s="122">
        <v>905</v>
      </c>
      <c r="C33" s="91" t="s">
        <v>116</v>
      </c>
      <c r="D33" s="91" t="s">
        <v>122</v>
      </c>
      <c r="E33" s="123" t="s">
        <v>37</v>
      </c>
      <c r="F33" s="123" t="s">
        <v>60</v>
      </c>
      <c r="G33" s="74">
        <v>251.9</v>
      </c>
      <c r="H33" s="74">
        <v>251.9</v>
      </c>
      <c r="I33" s="102"/>
      <c r="J33" s="100">
        <v>-65</v>
      </c>
      <c r="AC33" s="100">
        <f>3+6.7</f>
        <v>9.6999999999999993</v>
      </c>
      <c r="AI33" s="100">
        <v>124.3</v>
      </c>
      <c r="AL33" s="102">
        <v>21.9</v>
      </c>
      <c r="AM33" s="102">
        <v>21.9</v>
      </c>
      <c r="AR33" s="101">
        <v>22</v>
      </c>
      <c r="AT33" s="101">
        <v>22</v>
      </c>
      <c r="BA33" s="227">
        <v>119.8</v>
      </c>
      <c r="BB33" s="223">
        <v>119.8</v>
      </c>
    </row>
    <row r="34" spans="1:54" ht="37.5" hidden="1" x14ac:dyDescent="0.3">
      <c r="A34" s="125" t="s">
        <v>377</v>
      </c>
      <c r="B34" s="122">
        <v>905</v>
      </c>
      <c r="C34" s="91" t="s">
        <v>116</v>
      </c>
      <c r="D34" s="91" t="s">
        <v>122</v>
      </c>
      <c r="E34" s="123" t="s">
        <v>518</v>
      </c>
      <c r="F34" s="123" t="s">
        <v>51</v>
      </c>
      <c r="G34" s="74">
        <f>G35</f>
        <v>0</v>
      </c>
      <c r="H34" s="74">
        <f>H35</f>
        <v>0</v>
      </c>
      <c r="I34" s="102"/>
    </row>
    <row r="35" spans="1:54" ht="93.75" hidden="1" x14ac:dyDescent="0.3">
      <c r="A35" s="124" t="s">
        <v>57</v>
      </c>
      <c r="B35" s="122">
        <v>905</v>
      </c>
      <c r="C35" s="91" t="s">
        <v>116</v>
      </c>
      <c r="D35" s="91" t="s">
        <v>122</v>
      </c>
      <c r="E35" s="123" t="s">
        <v>518</v>
      </c>
      <c r="F35" s="123" t="s">
        <v>58</v>
      </c>
      <c r="G35" s="74">
        <v>0</v>
      </c>
      <c r="H35" s="74">
        <v>0</v>
      </c>
      <c r="I35" s="102"/>
      <c r="AE35" s="100">
        <v>117.4</v>
      </c>
      <c r="AI35" s="100">
        <v>0</v>
      </c>
    </row>
    <row r="36" spans="1:54" x14ac:dyDescent="0.3">
      <c r="A36" s="119" t="s">
        <v>123</v>
      </c>
      <c r="B36" s="118">
        <v>905</v>
      </c>
      <c r="C36" s="114" t="s">
        <v>124</v>
      </c>
      <c r="D36" s="114" t="s">
        <v>113</v>
      </c>
      <c r="E36" s="118" t="s">
        <v>50</v>
      </c>
      <c r="F36" s="114" t="s">
        <v>51</v>
      </c>
      <c r="G36" s="93">
        <f>G37+G66+G153+G202+G249</f>
        <v>728417.97000000009</v>
      </c>
      <c r="H36" s="93">
        <f>H37+H66+H153+H202+H249</f>
        <v>647015.27000000014</v>
      </c>
      <c r="I36" s="102"/>
    </row>
    <row r="37" spans="1:54" x14ac:dyDescent="0.3">
      <c r="A37" s="119" t="s">
        <v>125</v>
      </c>
      <c r="B37" s="118">
        <v>905</v>
      </c>
      <c r="C37" s="114" t="s">
        <v>124</v>
      </c>
      <c r="D37" s="120" t="s">
        <v>116</v>
      </c>
      <c r="E37" s="118" t="s">
        <v>50</v>
      </c>
      <c r="F37" s="114" t="s">
        <v>51</v>
      </c>
      <c r="G37" s="93">
        <f>G38</f>
        <v>338906.30000000005</v>
      </c>
      <c r="H37" s="93">
        <f>H38</f>
        <v>350506.30000000005</v>
      </c>
      <c r="I37" s="102"/>
    </row>
    <row r="38" spans="1:54" ht="44.25" customHeight="1" x14ac:dyDescent="0.3">
      <c r="A38" s="124" t="s">
        <v>38</v>
      </c>
      <c r="B38" s="122">
        <v>905</v>
      </c>
      <c r="C38" s="91" t="s">
        <v>124</v>
      </c>
      <c r="D38" s="105" t="s">
        <v>116</v>
      </c>
      <c r="E38" s="123" t="s">
        <v>25</v>
      </c>
      <c r="F38" s="123" t="s">
        <v>51</v>
      </c>
      <c r="G38" s="74">
        <f>G39</f>
        <v>338906.30000000005</v>
      </c>
      <c r="H38" s="74">
        <f>H39</f>
        <v>350506.30000000005</v>
      </c>
      <c r="I38" s="102"/>
    </row>
    <row r="39" spans="1:54" ht="54.75" customHeight="1" x14ac:dyDescent="0.3">
      <c r="A39" s="124" t="s">
        <v>139</v>
      </c>
      <c r="B39" s="122">
        <v>905</v>
      </c>
      <c r="C39" s="91" t="s">
        <v>124</v>
      </c>
      <c r="D39" s="105" t="s">
        <v>116</v>
      </c>
      <c r="E39" s="123" t="s">
        <v>52</v>
      </c>
      <c r="F39" s="123" t="s">
        <v>51</v>
      </c>
      <c r="G39" s="74">
        <f>G40+G50+G60+G58</f>
        <v>338906.30000000005</v>
      </c>
      <c r="H39" s="74">
        <f>H40+H50+H60+H58</f>
        <v>350506.30000000005</v>
      </c>
      <c r="I39" s="102"/>
    </row>
    <row r="40" spans="1:54" ht="37.5" x14ac:dyDescent="0.3">
      <c r="A40" s="124" t="s">
        <v>53</v>
      </c>
      <c r="B40" s="122">
        <v>905</v>
      </c>
      <c r="C40" s="91" t="s">
        <v>124</v>
      </c>
      <c r="D40" s="105" t="s">
        <v>116</v>
      </c>
      <c r="E40" s="123" t="s">
        <v>54</v>
      </c>
      <c r="F40" s="123" t="s">
        <v>51</v>
      </c>
      <c r="G40" s="74">
        <f>G41+G45+G48</f>
        <v>172154.6</v>
      </c>
      <c r="H40" s="74">
        <f>H41+H45+H48</f>
        <v>172154.6</v>
      </c>
      <c r="I40" s="102"/>
    </row>
    <row r="41" spans="1:54" x14ac:dyDescent="0.3">
      <c r="A41" s="124" t="s">
        <v>55</v>
      </c>
      <c r="B41" s="122">
        <v>905</v>
      </c>
      <c r="C41" s="91" t="s">
        <v>124</v>
      </c>
      <c r="D41" s="105" t="s">
        <v>116</v>
      </c>
      <c r="E41" s="123" t="s">
        <v>56</v>
      </c>
      <c r="F41" s="123" t="s">
        <v>51</v>
      </c>
      <c r="G41" s="74">
        <f>G42+G43+G44</f>
        <v>60698.799999999996</v>
      </c>
      <c r="H41" s="74">
        <f>H42+H43+H44</f>
        <v>67006.5</v>
      </c>
      <c r="I41" s="102"/>
    </row>
    <row r="42" spans="1:54" ht="93.75" x14ac:dyDescent="0.3">
      <c r="A42" s="124" t="s">
        <v>57</v>
      </c>
      <c r="B42" s="122">
        <v>905</v>
      </c>
      <c r="C42" s="91" t="s">
        <v>124</v>
      </c>
      <c r="D42" s="105" t="s">
        <v>116</v>
      </c>
      <c r="E42" s="123" t="s">
        <v>56</v>
      </c>
      <c r="F42" s="123" t="s">
        <v>58</v>
      </c>
      <c r="G42" s="74">
        <f>4147+15076.5</f>
        <v>19223.5</v>
      </c>
      <c r="H42" s="74">
        <f>4147+21384.2</f>
        <v>25531.200000000001</v>
      </c>
      <c r="I42" s="102"/>
      <c r="R42" s="100">
        <v>2.4</v>
      </c>
      <c r="S42" s="100">
        <v>6.3</v>
      </c>
      <c r="U42" s="100">
        <v>3.6</v>
      </c>
      <c r="W42" s="100">
        <v>2.4</v>
      </c>
      <c r="AA42" s="100">
        <v>12.1</v>
      </c>
      <c r="AF42" s="100">
        <f>-7619.7-159.1</f>
        <v>-7778.8</v>
      </c>
      <c r="AI42" s="100">
        <v>37323.199999999997</v>
      </c>
      <c r="AL42" s="102">
        <v>33580.1</v>
      </c>
      <c r="AM42" s="102">
        <v>35176.1</v>
      </c>
      <c r="AR42" s="101">
        <f>36457.1+0.1</f>
        <v>36457.199999999997</v>
      </c>
      <c r="AT42" s="101">
        <f>37860.1+0.1</f>
        <v>37860.199999999997</v>
      </c>
      <c r="BA42" s="227">
        <v>47587.5</v>
      </c>
      <c r="BB42" s="223">
        <f>101185.6-52792.7</f>
        <v>48392.900000000009</v>
      </c>
    </row>
    <row r="43" spans="1:54" ht="37.5" x14ac:dyDescent="0.3">
      <c r="A43" s="124" t="s">
        <v>433</v>
      </c>
      <c r="B43" s="122">
        <v>905</v>
      </c>
      <c r="C43" s="91" t="s">
        <v>124</v>
      </c>
      <c r="D43" s="105" t="s">
        <v>116</v>
      </c>
      <c r="E43" s="123" t="s">
        <v>56</v>
      </c>
      <c r="F43" s="123" t="s">
        <v>60</v>
      </c>
      <c r="G43" s="74">
        <f>38792.7+1485.5+0.1+1201.2-4.2</f>
        <v>41475.299999999996</v>
      </c>
      <c r="H43" s="74">
        <f>41479.5-4.2</f>
        <v>41475.300000000003</v>
      </c>
      <c r="I43" s="102"/>
      <c r="K43" s="100">
        <f>-211+204.85682</f>
        <v>-6.143180000000001</v>
      </c>
      <c r="L43" s="100">
        <v>34.299999999999997</v>
      </c>
      <c r="R43" s="100">
        <f>-6.9+81.5+120+2+3.04136+8.1+8.5+15+24.5+79.4+4.1</f>
        <v>339.24135999999999</v>
      </c>
      <c r="S43" s="100">
        <v>48.2</v>
      </c>
      <c r="U43" s="100">
        <v>173.37719999999999</v>
      </c>
      <c r="W43" s="100">
        <v>115.7</v>
      </c>
      <c r="X43" s="103">
        <v>227.83975000000001</v>
      </c>
      <c r="AA43" s="100">
        <f>247+406</f>
        <v>653</v>
      </c>
      <c r="AC43" s="100">
        <v>45.889870000000002</v>
      </c>
      <c r="AF43" s="100">
        <f>111+1205</f>
        <v>1316</v>
      </c>
      <c r="AG43" s="100">
        <v>-4.3760000000000003</v>
      </c>
      <c r="AI43" s="100">
        <f>31796.3+973.6</f>
        <v>32769.9</v>
      </c>
      <c r="AL43" s="102">
        <v>30960.400000000001</v>
      </c>
      <c r="AM43" s="102">
        <v>30960.400000000001</v>
      </c>
      <c r="AO43" s="103">
        <v>-36.940100000000001</v>
      </c>
      <c r="AQ43" s="100">
        <v>-17.6401</v>
      </c>
      <c r="AR43" s="101">
        <f>10364.6+36364.9+254+1814.2-20</f>
        <v>48777.7</v>
      </c>
      <c r="AT43" s="101">
        <f>10364.6+36364.9+254+1814.2+500</f>
        <v>49297.7</v>
      </c>
      <c r="AW43" s="219">
        <v>-25.7</v>
      </c>
      <c r="AY43" s="100">
        <v>-15.9</v>
      </c>
      <c r="BA43" s="227">
        <f>317.2+36158.4</f>
        <v>36475.599999999999</v>
      </c>
      <c r="BB43" s="223">
        <f>201.2+27862.4</f>
        <v>28063.600000000002</v>
      </c>
    </row>
    <row r="44" spans="1:54" x14ac:dyDescent="0.3">
      <c r="A44" s="124" t="s">
        <v>61</v>
      </c>
      <c r="B44" s="122">
        <v>905</v>
      </c>
      <c r="C44" s="91" t="s">
        <v>124</v>
      </c>
      <c r="D44" s="105" t="s">
        <v>116</v>
      </c>
      <c r="E44" s="123" t="s">
        <v>56</v>
      </c>
      <c r="F44" s="123" t="s">
        <v>62</v>
      </c>
      <c r="G44" s="74">
        <v>0</v>
      </c>
      <c r="H44" s="74">
        <v>0</v>
      </c>
      <c r="I44" s="102"/>
      <c r="R44" s="100">
        <v>-14</v>
      </c>
      <c r="X44" s="100">
        <v>-228</v>
      </c>
      <c r="AA44" s="100">
        <f>247.129+0.309+1.053+107.14319</f>
        <v>355.63418999999999</v>
      </c>
      <c r="AD44" s="100">
        <v>-253.07300000000001</v>
      </c>
      <c r="AF44" s="100">
        <v>10</v>
      </c>
      <c r="AG44" s="100">
        <v>2.2559999999999998</v>
      </c>
      <c r="AI44" s="100">
        <v>0</v>
      </c>
      <c r="AL44" s="102">
        <v>0</v>
      </c>
      <c r="AM44" s="102">
        <v>0</v>
      </c>
      <c r="BA44" s="227">
        <f>2388.6-1959.2</f>
        <v>429.39999999999986</v>
      </c>
      <c r="BB44" s="223">
        <v>429.39999999999986</v>
      </c>
    </row>
    <row r="45" spans="1:54" ht="37.5" x14ac:dyDescent="0.3">
      <c r="A45" s="125" t="s">
        <v>377</v>
      </c>
      <c r="B45" s="122">
        <v>905</v>
      </c>
      <c r="C45" s="91" t="s">
        <v>124</v>
      </c>
      <c r="D45" s="105" t="s">
        <v>116</v>
      </c>
      <c r="E45" s="91" t="s">
        <v>375</v>
      </c>
      <c r="F45" s="91" t="s">
        <v>51</v>
      </c>
      <c r="G45" s="74">
        <f>G47+G46</f>
        <v>110417.09999999999</v>
      </c>
      <c r="H45" s="74">
        <f>H47+H46</f>
        <v>104172.49999999999</v>
      </c>
      <c r="I45" s="102"/>
    </row>
    <row r="46" spans="1:54" ht="93.75" x14ac:dyDescent="0.3">
      <c r="A46" s="124" t="s">
        <v>57</v>
      </c>
      <c r="B46" s="122">
        <v>905</v>
      </c>
      <c r="C46" s="91" t="s">
        <v>124</v>
      </c>
      <c r="D46" s="105" t="s">
        <v>116</v>
      </c>
      <c r="E46" s="91" t="s">
        <v>375</v>
      </c>
      <c r="F46" s="91" t="s">
        <v>58</v>
      </c>
      <c r="G46" s="74">
        <f>102829.8-4147+9349.9</f>
        <v>108032.7</v>
      </c>
      <c r="H46" s="74">
        <f>96585.2-4147+9349.9</f>
        <v>101788.09999999999</v>
      </c>
      <c r="I46" s="102"/>
      <c r="AE46" s="100">
        <v>9285.4</v>
      </c>
      <c r="AI46" s="100">
        <v>43288.1</v>
      </c>
      <c r="AL46" s="102">
        <f>47515-AL49</f>
        <v>46988.5</v>
      </c>
      <c r="AM46" s="102">
        <f>45919-AM49</f>
        <v>45408.6</v>
      </c>
      <c r="AR46" s="101">
        <v>52579</v>
      </c>
      <c r="AT46" s="101">
        <v>51190</v>
      </c>
      <c r="BA46" s="227">
        <f>53598.1-584.2</f>
        <v>53013.9</v>
      </c>
      <c r="BB46" s="223">
        <f>52792.2-576.1</f>
        <v>52216.1</v>
      </c>
    </row>
    <row r="47" spans="1:54" x14ac:dyDescent="0.3">
      <c r="A47" s="124" t="s">
        <v>61</v>
      </c>
      <c r="B47" s="122">
        <v>905</v>
      </c>
      <c r="C47" s="91" t="s">
        <v>124</v>
      </c>
      <c r="D47" s="105" t="s">
        <v>116</v>
      </c>
      <c r="E47" s="91" t="s">
        <v>375</v>
      </c>
      <c r="F47" s="91" t="s">
        <v>62</v>
      </c>
      <c r="G47" s="74">
        <v>2384.4</v>
      </c>
      <c r="H47" s="74">
        <v>2384.4</v>
      </c>
      <c r="I47" s="102"/>
      <c r="AD47" s="100">
        <v>253.07300000000001</v>
      </c>
      <c r="AI47" s="100">
        <v>2545.4</v>
      </c>
      <c r="AL47" s="102">
        <v>2545.4</v>
      </c>
      <c r="AM47" s="102">
        <v>2545.4</v>
      </c>
      <c r="AR47" s="101">
        <v>2466.6999999999998</v>
      </c>
      <c r="AT47" s="101">
        <v>2466.6999999999998</v>
      </c>
      <c r="BA47" s="227">
        <v>1959.2</v>
      </c>
      <c r="BB47" s="223">
        <v>1959.2</v>
      </c>
    </row>
    <row r="48" spans="1:54" ht="41.25" customHeight="1" x14ac:dyDescent="0.3">
      <c r="A48" s="125" t="s">
        <v>381</v>
      </c>
      <c r="B48" s="122">
        <v>905</v>
      </c>
      <c r="C48" s="91" t="s">
        <v>124</v>
      </c>
      <c r="D48" s="105" t="s">
        <v>116</v>
      </c>
      <c r="E48" s="91" t="s">
        <v>382</v>
      </c>
      <c r="F48" s="91" t="s">
        <v>51</v>
      </c>
      <c r="G48" s="74">
        <v>1038.7</v>
      </c>
      <c r="H48" s="74">
        <v>975.6</v>
      </c>
      <c r="I48" s="102"/>
    </row>
    <row r="49" spans="1:56" ht="93.75" x14ac:dyDescent="0.3">
      <c r="A49" s="124" t="s">
        <v>57</v>
      </c>
      <c r="B49" s="122">
        <v>905</v>
      </c>
      <c r="C49" s="91" t="s">
        <v>124</v>
      </c>
      <c r="D49" s="105" t="s">
        <v>116</v>
      </c>
      <c r="E49" s="91" t="s">
        <v>382</v>
      </c>
      <c r="F49" s="91" t="s">
        <v>58</v>
      </c>
      <c r="G49" s="74">
        <v>1028.3</v>
      </c>
      <c r="H49" s="74">
        <v>965.9</v>
      </c>
      <c r="I49" s="102"/>
      <c r="AF49" s="100">
        <v>159.1</v>
      </c>
      <c r="AI49" s="100">
        <v>483.8</v>
      </c>
      <c r="AL49" s="102">
        <v>526.5</v>
      </c>
      <c r="AM49" s="102">
        <v>510.4</v>
      </c>
      <c r="AR49" s="101">
        <v>575</v>
      </c>
      <c r="AT49" s="101">
        <v>561</v>
      </c>
      <c r="BA49" s="227">
        <v>584.20000000000005</v>
      </c>
      <c r="BB49" s="223">
        <v>576.1</v>
      </c>
    </row>
    <row r="50" spans="1:56" x14ac:dyDescent="0.3">
      <c r="A50" s="124" t="s">
        <v>63</v>
      </c>
      <c r="B50" s="122">
        <v>905</v>
      </c>
      <c r="C50" s="91" t="s">
        <v>124</v>
      </c>
      <c r="D50" s="105" t="s">
        <v>116</v>
      </c>
      <c r="E50" s="91" t="s">
        <v>64</v>
      </c>
      <c r="F50" s="91" t="s">
        <v>51</v>
      </c>
      <c r="G50" s="74">
        <f>G51+G55+G53</f>
        <v>25652.199999999997</v>
      </c>
      <c r="H50" s="74">
        <f>H51+H55+H53</f>
        <v>37252.199999999997</v>
      </c>
      <c r="I50" s="102"/>
    </row>
    <row r="51" spans="1:56" ht="37.5" hidden="1" x14ac:dyDescent="0.3">
      <c r="A51" s="124" t="s">
        <v>82</v>
      </c>
      <c r="B51" s="122">
        <v>905</v>
      </c>
      <c r="C51" s="91" t="s">
        <v>124</v>
      </c>
      <c r="D51" s="105" t="s">
        <v>116</v>
      </c>
      <c r="E51" s="91" t="s">
        <v>150</v>
      </c>
      <c r="F51" s="91" t="s">
        <v>51</v>
      </c>
      <c r="G51" s="74">
        <f>G52</f>
        <v>0</v>
      </c>
      <c r="H51" s="74">
        <f>H52</f>
        <v>0</v>
      </c>
      <c r="I51" s="102"/>
    </row>
    <row r="52" spans="1:56" ht="37.5" hidden="1" x14ac:dyDescent="0.3">
      <c r="A52" s="124" t="s">
        <v>433</v>
      </c>
      <c r="B52" s="122">
        <v>905</v>
      </c>
      <c r="C52" s="91" t="s">
        <v>124</v>
      </c>
      <c r="D52" s="105" t="s">
        <v>116</v>
      </c>
      <c r="E52" s="91" t="s">
        <v>150</v>
      </c>
      <c r="F52" s="91" t="s">
        <v>60</v>
      </c>
      <c r="G52" s="74">
        <v>0</v>
      </c>
      <c r="H52" s="74">
        <v>0</v>
      </c>
      <c r="I52" s="102"/>
    </row>
    <row r="53" spans="1:56" ht="37.5" hidden="1" x14ac:dyDescent="0.3">
      <c r="A53" s="130" t="s">
        <v>65</v>
      </c>
      <c r="B53" s="122">
        <v>905</v>
      </c>
      <c r="C53" s="91" t="s">
        <v>124</v>
      </c>
      <c r="D53" s="105" t="s">
        <v>116</v>
      </c>
      <c r="E53" s="91" t="s">
        <v>66</v>
      </c>
      <c r="F53" s="123" t="s">
        <v>51</v>
      </c>
      <c r="G53" s="74">
        <f>G54</f>
        <v>0</v>
      </c>
      <c r="H53" s="74">
        <f>H54</f>
        <v>0</v>
      </c>
      <c r="I53" s="102"/>
    </row>
    <row r="54" spans="1:56" ht="37.5" hidden="1" x14ac:dyDescent="0.3">
      <c r="A54" s="124" t="s">
        <v>433</v>
      </c>
      <c r="B54" s="122">
        <v>905</v>
      </c>
      <c r="C54" s="91" t="s">
        <v>124</v>
      </c>
      <c r="D54" s="105" t="s">
        <v>116</v>
      </c>
      <c r="E54" s="91" t="s">
        <v>66</v>
      </c>
      <c r="F54" s="123" t="s">
        <v>60</v>
      </c>
      <c r="G54" s="74">
        <v>0</v>
      </c>
      <c r="H54" s="74">
        <v>0</v>
      </c>
      <c r="I54" s="102"/>
      <c r="L54" s="100">
        <v>13</v>
      </c>
      <c r="AI54" s="100">
        <v>0</v>
      </c>
    </row>
    <row r="55" spans="1:56" x14ac:dyDescent="0.3">
      <c r="A55" s="124" t="s">
        <v>67</v>
      </c>
      <c r="B55" s="122">
        <v>905</v>
      </c>
      <c r="C55" s="91" t="s">
        <v>124</v>
      </c>
      <c r="D55" s="105" t="s">
        <v>116</v>
      </c>
      <c r="E55" s="91" t="s">
        <v>68</v>
      </c>
      <c r="F55" s="91" t="s">
        <v>51</v>
      </c>
      <c r="G55" s="74">
        <f>G57</f>
        <v>25652.199999999997</v>
      </c>
      <c r="H55" s="74">
        <f>H57</f>
        <v>37252.199999999997</v>
      </c>
      <c r="I55" s="102"/>
    </row>
    <row r="56" spans="1:56" ht="93.75" hidden="1" x14ac:dyDescent="0.3">
      <c r="A56" s="124" t="s">
        <v>57</v>
      </c>
      <c r="B56" s="122">
        <v>905</v>
      </c>
      <c r="C56" s="91" t="s">
        <v>124</v>
      </c>
      <c r="D56" s="105" t="s">
        <v>116</v>
      </c>
      <c r="E56" s="91" t="s">
        <v>68</v>
      </c>
      <c r="F56" s="91" t="s">
        <v>58</v>
      </c>
      <c r="G56" s="74">
        <v>0</v>
      </c>
      <c r="H56" s="74">
        <v>0</v>
      </c>
      <c r="I56" s="102"/>
    </row>
    <row r="57" spans="1:56" ht="49.5" customHeight="1" x14ac:dyDescent="0.3">
      <c r="A57" s="124" t="s">
        <v>433</v>
      </c>
      <c r="B57" s="122">
        <v>905</v>
      </c>
      <c r="C57" s="91" t="s">
        <v>124</v>
      </c>
      <c r="D57" s="105" t="s">
        <v>116</v>
      </c>
      <c r="E57" s="91" t="s">
        <v>68</v>
      </c>
      <c r="F57" s="91" t="s">
        <v>60</v>
      </c>
      <c r="G57" s="74">
        <f>39652.2-9400-4500-100</f>
        <v>25652.199999999997</v>
      </c>
      <c r="H57" s="74">
        <f>39652.2-2400</f>
        <v>37252.199999999997</v>
      </c>
      <c r="I57" s="102"/>
      <c r="K57" s="103">
        <v>39.812179999999998</v>
      </c>
      <c r="AF57" s="100">
        <v>-5500</v>
      </c>
      <c r="AI57" s="100">
        <v>40564.199999999997</v>
      </c>
      <c r="AL57" s="102">
        <v>40564.199999999997</v>
      </c>
      <c r="AM57" s="102">
        <v>40564.199999999997</v>
      </c>
      <c r="AR57" s="101">
        <v>33661.4</v>
      </c>
      <c r="AT57" s="101">
        <v>33661.4</v>
      </c>
      <c r="BA57" s="227">
        <v>39254.1</v>
      </c>
      <c r="BB57" s="223">
        <v>39254.1</v>
      </c>
    </row>
    <row r="58" spans="1:56" ht="67.5" hidden="1" customHeight="1" x14ac:dyDescent="0.3">
      <c r="A58" s="132" t="s">
        <v>501</v>
      </c>
      <c r="B58" s="122">
        <v>905</v>
      </c>
      <c r="C58" s="91" t="s">
        <v>124</v>
      </c>
      <c r="D58" s="105" t="s">
        <v>116</v>
      </c>
      <c r="E58" s="91" t="s">
        <v>703</v>
      </c>
      <c r="F58" s="91" t="s">
        <v>51</v>
      </c>
      <c r="G58" s="74">
        <f>G59</f>
        <v>0</v>
      </c>
      <c r="H58" s="74">
        <f>H59</f>
        <v>0</v>
      </c>
      <c r="I58" s="102"/>
      <c r="K58" s="103"/>
    </row>
    <row r="59" spans="1:56" ht="25.5" hidden="1" customHeight="1" x14ac:dyDescent="0.3">
      <c r="A59" s="124" t="s">
        <v>61</v>
      </c>
      <c r="B59" s="122">
        <v>905</v>
      </c>
      <c r="C59" s="91" t="s">
        <v>124</v>
      </c>
      <c r="D59" s="105" t="s">
        <v>116</v>
      </c>
      <c r="E59" s="91" t="s">
        <v>703</v>
      </c>
      <c r="F59" s="91" t="s">
        <v>62</v>
      </c>
      <c r="G59" s="74">
        <v>0</v>
      </c>
      <c r="H59" s="74">
        <v>0</v>
      </c>
      <c r="I59" s="102"/>
      <c r="K59" s="103"/>
      <c r="R59" s="100">
        <v>14</v>
      </c>
      <c r="AI59" s="100">
        <v>0</v>
      </c>
    </row>
    <row r="60" spans="1:56" ht="37.5" x14ac:dyDescent="0.3">
      <c r="A60" s="124" t="s">
        <v>69</v>
      </c>
      <c r="B60" s="122">
        <v>905</v>
      </c>
      <c r="C60" s="91" t="s">
        <v>124</v>
      </c>
      <c r="D60" s="91" t="s">
        <v>116</v>
      </c>
      <c r="E60" s="10" t="s">
        <v>821</v>
      </c>
      <c r="F60" s="91" t="s">
        <v>51</v>
      </c>
      <c r="G60" s="74">
        <f>G61</f>
        <v>141099.50000000003</v>
      </c>
      <c r="H60" s="74">
        <f>H61</f>
        <v>141099.50000000003</v>
      </c>
      <c r="I60" s="102"/>
    </row>
    <row r="61" spans="1:56" ht="75" x14ac:dyDescent="0.3">
      <c r="A61" s="124" t="s">
        <v>71</v>
      </c>
      <c r="B61" s="122">
        <v>905</v>
      </c>
      <c r="C61" s="91" t="s">
        <v>124</v>
      </c>
      <c r="D61" s="91" t="s">
        <v>116</v>
      </c>
      <c r="E61" s="10" t="s">
        <v>824</v>
      </c>
      <c r="F61" s="91" t="s">
        <v>51</v>
      </c>
      <c r="G61" s="74">
        <f>G62+G63+G65+G64</f>
        <v>141099.50000000003</v>
      </c>
      <c r="H61" s="74">
        <f>H62+H63+H65+H64</f>
        <v>141099.50000000003</v>
      </c>
      <c r="I61" s="102"/>
    </row>
    <row r="62" spans="1:56" ht="93.75" x14ac:dyDescent="0.3">
      <c r="A62" s="124" t="s">
        <v>57</v>
      </c>
      <c r="B62" s="122">
        <v>905</v>
      </c>
      <c r="C62" s="91" t="s">
        <v>124</v>
      </c>
      <c r="D62" s="105" t="s">
        <v>116</v>
      </c>
      <c r="E62" s="10" t="s">
        <v>824</v>
      </c>
      <c r="F62" s="91" t="s">
        <v>58</v>
      </c>
      <c r="G62" s="74">
        <f>126506.1+13044.2</f>
        <v>139550.30000000002</v>
      </c>
      <c r="H62" s="74">
        <f>126506.1+13044.2</f>
        <v>139550.30000000002</v>
      </c>
      <c r="I62" s="102"/>
      <c r="R62" s="100">
        <v>0.874</v>
      </c>
      <c r="X62" s="100">
        <v>-1.4903999999999999</v>
      </c>
      <c r="AE62" s="100">
        <v>4960.7</v>
      </c>
      <c r="AI62" s="100">
        <v>93421.2</v>
      </c>
      <c r="AL62" s="133">
        <v>93421.2</v>
      </c>
      <c r="AM62" s="133">
        <v>93421.2</v>
      </c>
      <c r="AS62" s="134">
        <v>94850.3</v>
      </c>
      <c r="AU62" s="134">
        <v>94850.3</v>
      </c>
      <c r="BC62" s="236">
        <v>108736.4</v>
      </c>
      <c r="BD62" s="237">
        <v>108736.4</v>
      </c>
    </row>
    <row r="63" spans="1:56" ht="37.5" x14ac:dyDescent="0.3">
      <c r="A63" s="124" t="s">
        <v>433</v>
      </c>
      <c r="B63" s="122">
        <v>905</v>
      </c>
      <c r="C63" s="91" t="s">
        <v>124</v>
      </c>
      <c r="D63" s="105" t="s">
        <v>116</v>
      </c>
      <c r="E63" s="10" t="s">
        <v>824</v>
      </c>
      <c r="F63" s="91" t="s">
        <v>60</v>
      </c>
      <c r="G63" s="74">
        <v>1549.2</v>
      </c>
      <c r="H63" s="74">
        <v>1549.2</v>
      </c>
      <c r="I63" s="102"/>
      <c r="R63" s="100">
        <v>-0.874</v>
      </c>
      <c r="AI63" s="100">
        <v>1577.4</v>
      </c>
      <c r="AL63" s="133">
        <v>1577.4</v>
      </c>
      <c r="AM63" s="133">
        <v>1577.4</v>
      </c>
      <c r="AS63" s="134">
        <v>1563.3</v>
      </c>
      <c r="AU63" s="134">
        <v>1563.3</v>
      </c>
      <c r="BC63" s="236">
        <v>1563.3</v>
      </c>
      <c r="BD63" s="237">
        <v>1563.3</v>
      </c>
    </row>
    <row r="64" spans="1:56" ht="28.5" hidden="1" customHeight="1" x14ac:dyDescent="0.3">
      <c r="A64" s="124" t="s">
        <v>176</v>
      </c>
      <c r="B64" s="122">
        <v>905</v>
      </c>
      <c r="C64" s="91" t="s">
        <v>124</v>
      </c>
      <c r="D64" s="105" t="s">
        <v>116</v>
      </c>
      <c r="E64" s="91" t="s">
        <v>72</v>
      </c>
      <c r="F64" s="91" t="s">
        <v>177</v>
      </c>
      <c r="G64" s="74">
        <v>0</v>
      </c>
      <c r="H64" s="74">
        <v>0</v>
      </c>
      <c r="I64" s="102"/>
      <c r="X64" s="100">
        <v>1.4903999999999999</v>
      </c>
      <c r="AI64" s="100">
        <v>0</v>
      </c>
    </row>
    <row r="65" spans="1:54" hidden="1" x14ac:dyDescent="0.3">
      <c r="A65" s="124" t="s">
        <v>61</v>
      </c>
      <c r="B65" s="122">
        <v>905</v>
      </c>
      <c r="C65" s="91" t="s">
        <v>124</v>
      </c>
      <c r="D65" s="105" t="s">
        <v>116</v>
      </c>
      <c r="E65" s="91" t="s">
        <v>72</v>
      </c>
      <c r="F65" s="91" t="s">
        <v>62</v>
      </c>
      <c r="G65" s="74">
        <v>0</v>
      </c>
      <c r="H65" s="74">
        <v>0</v>
      </c>
      <c r="I65" s="102"/>
    </row>
    <row r="66" spans="1:54" x14ac:dyDescent="0.3">
      <c r="A66" s="119" t="s">
        <v>126</v>
      </c>
      <c r="B66" s="118">
        <v>905</v>
      </c>
      <c r="C66" s="114" t="s">
        <v>124</v>
      </c>
      <c r="D66" s="120" t="s">
        <v>117</v>
      </c>
      <c r="E66" s="118" t="s">
        <v>50</v>
      </c>
      <c r="F66" s="114" t="s">
        <v>51</v>
      </c>
      <c r="G66" s="93">
        <f>G67+G130</f>
        <v>358158</v>
      </c>
      <c r="H66" s="93">
        <f>H67+H130</f>
        <v>265155.3</v>
      </c>
      <c r="I66" s="102"/>
    </row>
    <row r="67" spans="1:54" ht="43.5" customHeight="1" x14ac:dyDescent="0.3">
      <c r="A67" s="124" t="s">
        <v>38</v>
      </c>
      <c r="B67" s="122">
        <v>905</v>
      </c>
      <c r="C67" s="91" t="s">
        <v>124</v>
      </c>
      <c r="D67" s="105" t="s">
        <v>117</v>
      </c>
      <c r="E67" s="123" t="s">
        <v>406</v>
      </c>
      <c r="F67" s="91" t="s">
        <v>51</v>
      </c>
      <c r="G67" s="74">
        <f t="shared" ref="G67:AV67" si="2">G68+G147</f>
        <v>358158</v>
      </c>
      <c r="H67" s="74">
        <f t="shared" si="2"/>
        <v>265155.3</v>
      </c>
      <c r="I67" s="74">
        <f t="shared" si="2"/>
        <v>0</v>
      </c>
      <c r="J67" s="74">
        <f t="shared" si="2"/>
        <v>0</v>
      </c>
      <c r="K67" s="74">
        <f t="shared" si="2"/>
        <v>0</v>
      </c>
      <c r="L67" s="74">
        <f t="shared" si="2"/>
        <v>0</v>
      </c>
      <c r="M67" s="74">
        <f t="shared" si="2"/>
        <v>0</v>
      </c>
      <c r="N67" s="74">
        <f t="shared" si="2"/>
        <v>0</v>
      </c>
      <c r="O67" s="74">
        <f t="shared" si="2"/>
        <v>0</v>
      </c>
      <c r="P67" s="74">
        <f t="shared" si="2"/>
        <v>0</v>
      </c>
      <c r="Q67" s="74">
        <f t="shared" si="2"/>
        <v>0</v>
      </c>
      <c r="R67" s="74">
        <f t="shared" si="2"/>
        <v>0</v>
      </c>
      <c r="S67" s="74">
        <f t="shared" si="2"/>
        <v>0</v>
      </c>
      <c r="T67" s="74">
        <f t="shared" si="2"/>
        <v>0</v>
      </c>
      <c r="U67" s="74">
        <f t="shared" si="2"/>
        <v>0</v>
      </c>
      <c r="V67" s="74">
        <f t="shared" si="2"/>
        <v>0</v>
      </c>
      <c r="W67" s="74">
        <f t="shared" si="2"/>
        <v>0</v>
      </c>
      <c r="X67" s="74">
        <f t="shared" si="2"/>
        <v>0</v>
      </c>
      <c r="Y67" s="74">
        <f t="shared" si="2"/>
        <v>0</v>
      </c>
      <c r="Z67" s="74">
        <f t="shared" si="2"/>
        <v>0</v>
      </c>
      <c r="AA67" s="74">
        <f t="shared" si="2"/>
        <v>0</v>
      </c>
      <c r="AB67" s="74">
        <f t="shared" si="2"/>
        <v>0</v>
      </c>
      <c r="AC67" s="74">
        <f t="shared" si="2"/>
        <v>0</v>
      </c>
      <c r="AD67" s="74">
        <f t="shared" si="2"/>
        <v>0</v>
      </c>
      <c r="AE67" s="74">
        <f t="shared" si="2"/>
        <v>0</v>
      </c>
      <c r="AF67" s="74">
        <f t="shared" si="2"/>
        <v>0</v>
      </c>
      <c r="AG67" s="74">
        <f t="shared" si="2"/>
        <v>0</v>
      </c>
      <c r="AH67" s="74">
        <f t="shared" si="2"/>
        <v>0</v>
      </c>
      <c r="AI67" s="74">
        <f t="shared" si="2"/>
        <v>0</v>
      </c>
      <c r="AJ67" s="74">
        <f t="shared" si="2"/>
        <v>0</v>
      </c>
      <c r="AK67" s="74">
        <f t="shared" si="2"/>
        <v>0</v>
      </c>
      <c r="AL67" s="74">
        <f t="shared" si="2"/>
        <v>0</v>
      </c>
      <c r="AM67" s="74">
        <f t="shared" si="2"/>
        <v>0</v>
      </c>
      <c r="AN67" s="74">
        <f t="shared" si="2"/>
        <v>0</v>
      </c>
      <c r="AO67" s="74">
        <f t="shared" si="2"/>
        <v>0</v>
      </c>
      <c r="AP67" s="74">
        <f t="shared" si="2"/>
        <v>0</v>
      </c>
      <c r="AQ67" s="74">
        <f t="shared" si="2"/>
        <v>0</v>
      </c>
      <c r="AR67" s="74">
        <f t="shared" si="2"/>
        <v>0</v>
      </c>
      <c r="AS67" s="74">
        <f t="shared" si="2"/>
        <v>0</v>
      </c>
      <c r="AT67" s="74">
        <f t="shared" si="2"/>
        <v>0</v>
      </c>
      <c r="AU67" s="74">
        <f t="shared" si="2"/>
        <v>0</v>
      </c>
      <c r="AV67" s="74">
        <f t="shared" si="2"/>
        <v>0</v>
      </c>
    </row>
    <row r="68" spans="1:54" ht="56.25" x14ac:dyDescent="0.3">
      <c r="A68" s="124" t="s">
        <v>139</v>
      </c>
      <c r="B68" s="122">
        <v>905</v>
      </c>
      <c r="C68" s="91" t="s">
        <v>124</v>
      </c>
      <c r="D68" s="105" t="s">
        <v>117</v>
      </c>
      <c r="E68" s="123" t="s">
        <v>52</v>
      </c>
      <c r="F68" s="91" t="s">
        <v>51</v>
      </c>
      <c r="G68" s="74">
        <f>G69+G94+G109+G102+G107+G124+G127+G89+G84+G87+G136+G141+G118+G121+G145</f>
        <v>356602.2</v>
      </c>
      <c r="H68" s="74">
        <f>H69+H94+H109+H102+H107+H124+H127+H89+H84+H87+H136+H141+H118+H121</f>
        <v>263554.8</v>
      </c>
      <c r="I68" s="102"/>
    </row>
    <row r="69" spans="1:54" ht="37.5" x14ac:dyDescent="0.3">
      <c r="A69" s="124" t="s">
        <v>53</v>
      </c>
      <c r="B69" s="122">
        <v>905</v>
      </c>
      <c r="C69" s="91" t="s">
        <v>124</v>
      </c>
      <c r="D69" s="105" t="s">
        <v>117</v>
      </c>
      <c r="E69" s="123" t="s">
        <v>54</v>
      </c>
      <c r="F69" s="91" t="s">
        <v>51</v>
      </c>
      <c r="G69" s="74">
        <f>G70+G76+G79+G80</f>
        <v>34875</v>
      </c>
      <c r="H69" s="74">
        <f>H70+H76+H79+H80</f>
        <v>28734.800000000003</v>
      </c>
      <c r="I69" s="102"/>
    </row>
    <row r="70" spans="1:54" x14ac:dyDescent="0.3">
      <c r="A70" s="124" t="s">
        <v>74</v>
      </c>
      <c r="B70" s="122">
        <v>905</v>
      </c>
      <c r="C70" s="91" t="s">
        <v>124</v>
      </c>
      <c r="D70" s="105" t="s">
        <v>117</v>
      </c>
      <c r="E70" s="91" t="s">
        <v>39</v>
      </c>
      <c r="F70" s="91" t="s">
        <v>51</v>
      </c>
      <c r="G70" s="74">
        <f>G71+G72+G75+G73+G74</f>
        <v>34570.5</v>
      </c>
      <c r="H70" s="74">
        <f>H71+H72+H75+H73+H74</f>
        <v>28430.300000000003</v>
      </c>
      <c r="I70" s="102"/>
    </row>
    <row r="71" spans="1:54" ht="93.75" x14ac:dyDescent="0.3">
      <c r="A71" s="124" t="s">
        <v>57</v>
      </c>
      <c r="B71" s="122">
        <v>905</v>
      </c>
      <c r="C71" s="91" t="s">
        <v>124</v>
      </c>
      <c r="D71" s="105" t="s">
        <v>117</v>
      </c>
      <c r="E71" s="91" t="s">
        <v>39</v>
      </c>
      <c r="F71" s="91" t="s">
        <v>58</v>
      </c>
      <c r="G71" s="74">
        <v>380.4</v>
      </c>
      <c r="H71" s="74">
        <v>380.4</v>
      </c>
      <c r="I71" s="102"/>
      <c r="R71" s="100">
        <v>3.5</v>
      </c>
      <c r="AA71" s="100">
        <v>30</v>
      </c>
      <c r="AF71" s="100">
        <v>8</v>
      </c>
      <c r="AI71" s="100">
        <v>282.89999999999998</v>
      </c>
      <c r="AL71" s="102">
        <v>282.89999999999998</v>
      </c>
      <c r="AM71" s="102">
        <v>282.89999999999998</v>
      </c>
      <c r="AR71" s="101">
        <v>281.39999999999998</v>
      </c>
      <c r="AT71" s="101">
        <v>281.39999999999998</v>
      </c>
      <c r="BA71" s="227">
        <v>306.5</v>
      </c>
      <c r="BB71" s="223">
        <v>306.5</v>
      </c>
    </row>
    <row r="72" spans="1:54" ht="37.5" x14ac:dyDescent="0.3">
      <c r="A72" s="124" t="s">
        <v>433</v>
      </c>
      <c r="B72" s="122">
        <v>905</v>
      </c>
      <c r="C72" s="91" t="s">
        <v>124</v>
      </c>
      <c r="D72" s="105" t="s">
        <v>117</v>
      </c>
      <c r="E72" s="91" t="s">
        <v>39</v>
      </c>
      <c r="F72" s="91" t="s">
        <v>60</v>
      </c>
      <c r="G72" s="74">
        <f>334.5+956.4+423.2+16908.2-859.8+9400</f>
        <v>27162.5</v>
      </c>
      <c r="H72" s="74">
        <f>2400+18622.3</f>
        <v>21022.3</v>
      </c>
      <c r="I72" s="102"/>
      <c r="K72" s="100">
        <v>211</v>
      </c>
      <c r="L72" s="100">
        <v>0</v>
      </c>
      <c r="R72" s="100">
        <f>9.2+270+4.6+20.2+5.5+44.8+37.3+77.3+105+44</f>
        <v>617.90000000000009</v>
      </c>
      <c r="S72" s="100">
        <f>18+62</f>
        <v>80</v>
      </c>
      <c r="U72" s="100">
        <f>1209+1310-10</f>
        <v>2509</v>
      </c>
      <c r="AA72" s="100">
        <f>58+40+660</f>
        <v>758</v>
      </c>
      <c r="AB72" s="100">
        <v>600</v>
      </c>
      <c r="AC72" s="100">
        <f>75+363.8+121</f>
        <v>559.79999999999995</v>
      </c>
      <c r="AF72" s="100">
        <f>387.3+59</f>
        <v>446.3</v>
      </c>
      <c r="AI72" s="100">
        <f>19623.2</f>
        <v>19623.2</v>
      </c>
      <c r="AL72" s="102">
        <v>14190.6</v>
      </c>
      <c r="AM72" s="102">
        <v>14190.6</v>
      </c>
      <c r="AR72" s="101">
        <f>5403.1+8019.8+2114.7+377</f>
        <v>15914.600000000002</v>
      </c>
      <c r="AT72" s="101">
        <f>5403.1+8019.8+2114.7+377+500</f>
        <v>16414.600000000002</v>
      </c>
      <c r="BA72" s="227">
        <f>6600.3+8953.9+2371</f>
        <v>17925.2</v>
      </c>
      <c r="BB72" s="223">
        <v>17925.2</v>
      </c>
    </row>
    <row r="73" spans="1:54" x14ac:dyDescent="0.3">
      <c r="A73" s="124" t="s">
        <v>61</v>
      </c>
      <c r="B73" s="122">
        <v>905</v>
      </c>
      <c r="C73" s="91" t="s">
        <v>124</v>
      </c>
      <c r="D73" s="105" t="s">
        <v>117</v>
      </c>
      <c r="E73" s="91" t="s">
        <v>39</v>
      </c>
      <c r="F73" s="91" t="s">
        <v>62</v>
      </c>
      <c r="G73" s="74">
        <f>201.3+215.4</f>
        <v>416.70000000000005</v>
      </c>
      <c r="H73" s="74">
        <v>416.70000000000005</v>
      </c>
      <c r="I73" s="102"/>
      <c r="AR73" s="101">
        <v>506.6</v>
      </c>
      <c r="AT73" s="101">
        <v>506.6</v>
      </c>
      <c r="BA73" s="227">
        <f>206.9+294.1</f>
        <v>501</v>
      </c>
      <c r="BB73" s="223">
        <v>501</v>
      </c>
    </row>
    <row r="74" spans="1:54" ht="56.25" x14ac:dyDescent="0.3">
      <c r="A74" s="124" t="s">
        <v>267</v>
      </c>
      <c r="B74" s="122">
        <v>905</v>
      </c>
      <c r="C74" s="91" t="s">
        <v>124</v>
      </c>
      <c r="D74" s="105" t="s">
        <v>117</v>
      </c>
      <c r="E74" s="91" t="s">
        <v>39</v>
      </c>
      <c r="F74" s="91" t="s">
        <v>264</v>
      </c>
      <c r="G74" s="74">
        <f>0.1+389.5+5969.4+251.9</f>
        <v>6610.9</v>
      </c>
      <c r="H74" s="74">
        <f>251.9+6359</f>
        <v>6610.9</v>
      </c>
      <c r="I74" s="102"/>
      <c r="J74" s="102">
        <v>4269.2</v>
      </c>
      <c r="L74" s="100">
        <v>58</v>
      </c>
      <c r="R74" s="100">
        <f>80+4.6+30</f>
        <v>114.6</v>
      </c>
      <c r="U74" s="100">
        <f>120+10</f>
        <v>130</v>
      </c>
      <c r="X74" s="100">
        <v>60</v>
      </c>
      <c r="AI74" s="100">
        <f>4847.4+726</f>
        <v>5573.4</v>
      </c>
      <c r="AL74" s="102">
        <v>5308.7</v>
      </c>
      <c r="AM74" s="102">
        <v>5308.7</v>
      </c>
      <c r="AR74" s="101">
        <f>389.3+5747</f>
        <v>6136.3</v>
      </c>
      <c r="AT74" s="101">
        <f>389.3+5747</f>
        <v>6136.3</v>
      </c>
      <c r="BA74" s="227">
        <f>6405.2-727.8</f>
        <v>5677.4</v>
      </c>
      <c r="BB74" s="223">
        <f>6405.2-727.8</f>
        <v>5677.4</v>
      </c>
    </row>
    <row r="75" spans="1:54" hidden="1" x14ac:dyDescent="0.3">
      <c r="A75" s="124" t="s">
        <v>61</v>
      </c>
      <c r="B75" s="122">
        <v>905</v>
      </c>
      <c r="C75" s="91" t="s">
        <v>124</v>
      </c>
      <c r="D75" s="105" t="s">
        <v>117</v>
      </c>
      <c r="E75" s="91" t="s">
        <v>39</v>
      </c>
      <c r="F75" s="91" t="s">
        <v>62</v>
      </c>
      <c r="G75" s="74">
        <v>0</v>
      </c>
      <c r="H75" s="74">
        <v>0</v>
      </c>
      <c r="I75" s="102"/>
      <c r="U75" s="100">
        <v>6</v>
      </c>
      <c r="AC75" s="100">
        <v>-1.0529999999999999</v>
      </c>
      <c r="AI75" s="100">
        <v>0</v>
      </c>
    </row>
    <row r="76" spans="1:54" ht="37.5" hidden="1" x14ac:dyDescent="0.3">
      <c r="A76" s="125" t="s">
        <v>377</v>
      </c>
      <c r="B76" s="122">
        <v>905</v>
      </c>
      <c r="C76" s="91" t="s">
        <v>124</v>
      </c>
      <c r="D76" s="105" t="s">
        <v>117</v>
      </c>
      <c r="E76" s="91" t="s">
        <v>379</v>
      </c>
      <c r="F76" s="91" t="s">
        <v>51</v>
      </c>
      <c r="G76" s="74">
        <v>0</v>
      </c>
      <c r="H76" s="74">
        <v>0</v>
      </c>
      <c r="I76" s="102"/>
    </row>
    <row r="77" spans="1:54" ht="93.75" hidden="1" x14ac:dyDescent="0.3">
      <c r="A77" s="124" t="s">
        <v>57</v>
      </c>
      <c r="B77" s="122">
        <v>905</v>
      </c>
      <c r="C77" s="91" t="s">
        <v>124</v>
      </c>
      <c r="D77" s="105" t="s">
        <v>117</v>
      </c>
      <c r="E77" s="91" t="s">
        <v>379</v>
      </c>
      <c r="F77" s="91" t="s">
        <v>58</v>
      </c>
      <c r="G77" s="74">
        <v>0</v>
      </c>
      <c r="H77" s="74">
        <v>0</v>
      </c>
      <c r="I77" s="102"/>
    </row>
    <row r="78" spans="1:54" hidden="1" x14ac:dyDescent="0.3">
      <c r="A78" s="124" t="s">
        <v>61</v>
      </c>
      <c r="B78" s="122">
        <v>905</v>
      </c>
      <c r="C78" s="91" t="s">
        <v>124</v>
      </c>
      <c r="D78" s="105" t="s">
        <v>117</v>
      </c>
      <c r="E78" s="91" t="s">
        <v>379</v>
      </c>
      <c r="F78" s="91" t="s">
        <v>62</v>
      </c>
      <c r="G78" s="74">
        <v>0</v>
      </c>
      <c r="H78" s="74">
        <v>0</v>
      </c>
      <c r="I78" s="102"/>
    </row>
    <row r="79" spans="1:54" ht="45.75" hidden="1" customHeight="1" x14ac:dyDescent="0.3">
      <c r="A79" s="125" t="s">
        <v>381</v>
      </c>
      <c r="B79" s="122">
        <v>905</v>
      </c>
      <c r="C79" s="91" t="s">
        <v>124</v>
      </c>
      <c r="D79" s="105" t="s">
        <v>117</v>
      </c>
      <c r="E79" s="91" t="s">
        <v>500</v>
      </c>
      <c r="F79" s="91" t="s">
        <v>51</v>
      </c>
      <c r="G79" s="74">
        <v>0</v>
      </c>
      <c r="H79" s="74">
        <v>0</v>
      </c>
      <c r="I79" s="102"/>
    </row>
    <row r="80" spans="1:54" ht="45.75" customHeight="1" x14ac:dyDescent="0.3">
      <c r="A80" s="125" t="s">
        <v>377</v>
      </c>
      <c r="B80" s="122">
        <v>905</v>
      </c>
      <c r="C80" s="91" t="s">
        <v>124</v>
      </c>
      <c r="D80" s="105" t="s">
        <v>117</v>
      </c>
      <c r="E80" s="91" t="s">
        <v>379</v>
      </c>
      <c r="F80" s="91" t="s">
        <v>51</v>
      </c>
      <c r="G80" s="74">
        <f>G82+G81+G83</f>
        <v>304.5</v>
      </c>
      <c r="H80" s="74">
        <f>H82+H81+H83</f>
        <v>304.5</v>
      </c>
      <c r="I80" s="102"/>
    </row>
    <row r="81" spans="1:56" ht="106.5" hidden="1" customHeight="1" x14ac:dyDescent="0.3">
      <c r="A81" s="124" t="s">
        <v>57</v>
      </c>
      <c r="B81" s="122">
        <v>905</v>
      </c>
      <c r="C81" s="91" t="s">
        <v>124</v>
      </c>
      <c r="D81" s="105" t="s">
        <v>117</v>
      </c>
      <c r="E81" s="91" t="s">
        <v>379</v>
      </c>
      <c r="F81" s="91" t="s">
        <v>58</v>
      </c>
      <c r="G81" s="74">
        <v>0</v>
      </c>
      <c r="H81" s="74">
        <v>0</v>
      </c>
      <c r="I81" s="102"/>
      <c r="AE81" s="100">
        <v>305</v>
      </c>
    </row>
    <row r="82" spans="1:56" ht="50.25" customHeight="1" x14ac:dyDescent="0.3">
      <c r="A82" s="124" t="s">
        <v>267</v>
      </c>
      <c r="B82" s="122">
        <v>905</v>
      </c>
      <c r="C82" s="91" t="s">
        <v>124</v>
      </c>
      <c r="D82" s="105" t="s">
        <v>117</v>
      </c>
      <c r="E82" s="91" t="s">
        <v>379</v>
      </c>
      <c r="F82" s="91" t="s">
        <v>264</v>
      </c>
      <c r="G82" s="74">
        <v>304.5</v>
      </c>
      <c r="H82" s="74">
        <v>304.5</v>
      </c>
      <c r="I82" s="102"/>
      <c r="J82" s="100">
        <v>733.5</v>
      </c>
      <c r="AR82" s="101">
        <v>332.9</v>
      </c>
      <c r="AT82" s="101">
        <v>332.9</v>
      </c>
      <c r="BA82" s="227">
        <v>727.8</v>
      </c>
      <c r="BB82" s="223">
        <v>727.8</v>
      </c>
    </row>
    <row r="83" spans="1:56" ht="35.25" hidden="1" customHeight="1" x14ac:dyDescent="0.3">
      <c r="A83" s="124" t="s">
        <v>61</v>
      </c>
      <c r="B83" s="122">
        <v>905</v>
      </c>
      <c r="C83" s="91" t="s">
        <v>124</v>
      </c>
      <c r="D83" s="105" t="s">
        <v>117</v>
      </c>
      <c r="E83" s="91" t="s">
        <v>379</v>
      </c>
      <c r="F83" s="91" t="s">
        <v>62</v>
      </c>
      <c r="G83" s="74">
        <v>0</v>
      </c>
      <c r="H83" s="74">
        <v>0</v>
      </c>
      <c r="I83" s="102"/>
      <c r="AI83" s="100">
        <v>469.7</v>
      </c>
      <c r="AL83" s="102">
        <v>469.7</v>
      </c>
      <c r="AM83" s="102">
        <v>469.7</v>
      </c>
    </row>
    <row r="84" spans="1:56" ht="86.25" hidden="1" customHeight="1" x14ac:dyDescent="0.3">
      <c r="A84" s="121" t="s">
        <v>252</v>
      </c>
      <c r="B84" s="122">
        <v>905</v>
      </c>
      <c r="C84" s="91" t="s">
        <v>124</v>
      </c>
      <c r="D84" s="105" t="s">
        <v>117</v>
      </c>
      <c r="E84" s="91" t="s">
        <v>711</v>
      </c>
      <c r="F84" s="91" t="s">
        <v>51</v>
      </c>
      <c r="G84" s="74">
        <f>G85</f>
        <v>0</v>
      </c>
      <c r="H84" s="74">
        <f>H85</f>
        <v>0</v>
      </c>
      <c r="I84" s="102"/>
    </row>
    <row r="85" spans="1:56" ht="99" hidden="1" customHeight="1" x14ac:dyDescent="0.3">
      <c r="A85" s="124" t="s">
        <v>706</v>
      </c>
      <c r="B85" s="122">
        <v>905</v>
      </c>
      <c r="C85" s="91" t="s">
        <v>124</v>
      </c>
      <c r="D85" s="105" t="s">
        <v>117</v>
      </c>
      <c r="E85" s="91" t="s">
        <v>707</v>
      </c>
      <c r="F85" s="91" t="s">
        <v>51</v>
      </c>
      <c r="G85" s="74">
        <f>G86</f>
        <v>0</v>
      </c>
      <c r="H85" s="74">
        <f>H86</f>
        <v>0</v>
      </c>
      <c r="I85" s="102"/>
    </row>
    <row r="86" spans="1:56" ht="38.25" hidden="1" customHeight="1" x14ac:dyDescent="0.3">
      <c r="A86" s="124" t="s">
        <v>267</v>
      </c>
      <c r="B86" s="122">
        <v>905</v>
      </c>
      <c r="C86" s="91" t="s">
        <v>124</v>
      </c>
      <c r="D86" s="105" t="s">
        <v>117</v>
      </c>
      <c r="E86" s="91" t="s">
        <v>707</v>
      </c>
      <c r="F86" s="91" t="s">
        <v>264</v>
      </c>
      <c r="G86" s="74">
        <v>0</v>
      </c>
      <c r="H86" s="74">
        <v>0</v>
      </c>
      <c r="I86" s="102"/>
      <c r="V86" s="100">
        <v>2020</v>
      </c>
      <c r="AI86" s="100">
        <v>0</v>
      </c>
    </row>
    <row r="87" spans="1:56" ht="119.25" hidden="1" customHeight="1" x14ac:dyDescent="0.3">
      <c r="A87" s="124" t="s">
        <v>425</v>
      </c>
      <c r="B87" s="122">
        <v>905</v>
      </c>
      <c r="C87" s="91" t="s">
        <v>124</v>
      </c>
      <c r="D87" s="105" t="s">
        <v>117</v>
      </c>
      <c r="E87" s="91" t="s">
        <v>426</v>
      </c>
      <c r="F87" s="91" t="s">
        <v>51</v>
      </c>
      <c r="G87" s="74">
        <f>G88</f>
        <v>0</v>
      </c>
      <c r="H87" s="74">
        <f>H88</f>
        <v>0</v>
      </c>
      <c r="I87" s="102"/>
    </row>
    <row r="88" spans="1:56" ht="47.25" hidden="1" customHeight="1" x14ac:dyDescent="0.3">
      <c r="A88" s="124" t="s">
        <v>267</v>
      </c>
      <c r="B88" s="122">
        <v>905</v>
      </c>
      <c r="C88" s="91" t="s">
        <v>124</v>
      </c>
      <c r="D88" s="105" t="s">
        <v>117</v>
      </c>
      <c r="E88" s="91" t="s">
        <v>426</v>
      </c>
      <c r="F88" s="91" t="s">
        <v>264</v>
      </c>
      <c r="G88" s="74">
        <v>0</v>
      </c>
      <c r="H88" s="74">
        <v>0</v>
      </c>
      <c r="I88" s="102"/>
      <c r="W88" s="100">
        <v>20.5</v>
      </c>
      <c r="AI88" s="100">
        <v>0</v>
      </c>
    </row>
    <row r="89" spans="1:56" ht="75" x14ac:dyDescent="0.3">
      <c r="A89" s="124" t="s">
        <v>174</v>
      </c>
      <c r="B89" s="122">
        <v>905</v>
      </c>
      <c r="C89" s="91" t="s">
        <v>124</v>
      </c>
      <c r="D89" s="105" t="s">
        <v>117</v>
      </c>
      <c r="E89" s="91" t="s">
        <v>827</v>
      </c>
      <c r="F89" s="91" t="s">
        <v>51</v>
      </c>
      <c r="G89" s="74">
        <f>G90</f>
        <v>519.70000000000005</v>
      </c>
      <c r="H89" s="74">
        <f>H90</f>
        <v>519.70000000000005</v>
      </c>
      <c r="I89" s="102"/>
    </row>
    <row r="90" spans="1:56" ht="154.5" customHeight="1" x14ac:dyDescent="0.3">
      <c r="A90" s="124" t="s">
        <v>527</v>
      </c>
      <c r="B90" s="122">
        <v>905</v>
      </c>
      <c r="C90" s="91" t="s">
        <v>124</v>
      </c>
      <c r="D90" s="105" t="s">
        <v>117</v>
      </c>
      <c r="E90" s="91" t="s">
        <v>828</v>
      </c>
      <c r="F90" s="91" t="s">
        <v>51</v>
      </c>
      <c r="G90" s="74">
        <f>G92+G91+G93</f>
        <v>519.70000000000005</v>
      </c>
      <c r="H90" s="74">
        <f>H92+H91+H93</f>
        <v>519.70000000000005</v>
      </c>
      <c r="I90" s="102"/>
    </row>
    <row r="91" spans="1:56" ht="92.25" customHeight="1" x14ac:dyDescent="0.3">
      <c r="A91" s="124" t="s">
        <v>57</v>
      </c>
      <c r="B91" s="122">
        <v>905</v>
      </c>
      <c r="C91" s="91" t="s">
        <v>124</v>
      </c>
      <c r="D91" s="105" t="s">
        <v>117</v>
      </c>
      <c r="E91" s="91" t="s">
        <v>828</v>
      </c>
      <c r="F91" s="91" t="s">
        <v>58</v>
      </c>
      <c r="G91" s="74">
        <v>519.70000000000005</v>
      </c>
      <c r="H91" s="74">
        <v>519.70000000000005</v>
      </c>
      <c r="I91" s="102"/>
      <c r="U91" s="100">
        <v>142.5</v>
      </c>
      <c r="X91" s="100">
        <v>-1.411</v>
      </c>
      <c r="AE91" s="100">
        <v>-27.2</v>
      </c>
      <c r="AF91" s="100">
        <f>-26.61528-18.10854-4.38044+53.91683</f>
        <v>4.8125699999999938</v>
      </c>
      <c r="AI91" s="100">
        <v>253.3</v>
      </c>
      <c r="AL91" s="102">
        <v>253.3</v>
      </c>
      <c r="AM91" s="102">
        <v>253.3</v>
      </c>
      <c r="AS91" s="101">
        <v>416.3</v>
      </c>
      <c r="AU91" s="101">
        <v>416.3</v>
      </c>
      <c r="BC91" s="236">
        <v>514.4</v>
      </c>
      <c r="BD91" s="237">
        <v>514.4</v>
      </c>
    </row>
    <row r="92" spans="1:56" ht="37.5" hidden="1" x14ac:dyDescent="0.3">
      <c r="A92" s="124" t="s">
        <v>433</v>
      </c>
      <c r="B92" s="122">
        <v>905</v>
      </c>
      <c r="C92" s="91" t="s">
        <v>124</v>
      </c>
      <c r="D92" s="105" t="s">
        <v>117</v>
      </c>
      <c r="E92" s="91" t="s">
        <v>526</v>
      </c>
      <c r="F92" s="91" t="s">
        <v>60</v>
      </c>
      <c r="G92" s="74">
        <v>0</v>
      </c>
      <c r="H92" s="74">
        <v>0</v>
      </c>
      <c r="I92" s="102"/>
      <c r="U92" s="100">
        <v>-199.4</v>
      </c>
      <c r="X92" s="100">
        <v>1.411</v>
      </c>
      <c r="AF92" s="100">
        <f>-0.44598-0.26352</f>
        <v>-0.70950000000000002</v>
      </c>
      <c r="AI92" s="100">
        <v>0</v>
      </c>
    </row>
    <row r="93" spans="1:56" ht="56.25" hidden="1" x14ac:dyDescent="0.3">
      <c r="A93" s="124" t="s">
        <v>267</v>
      </c>
      <c r="B93" s="122">
        <v>905</v>
      </c>
      <c r="C93" s="91" t="s">
        <v>124</v>
      </c>
      <c r="D93" s="105" t="s">
        <v>117</v>
      </c>
      <c r="E93" s="91" t="s">
        <v>526</v>
      </c>
      <c r="F93" s="91" t="s">
        <v>264</v>
      </c>
      <c r="G93" s="74">
        <v>0</v>
      </c>
      <c r="H93" s="74">
        <v>0</v>
      </c>
      <c r="I93" s="102"/>
      <c r="U93" s="100">
        <v>56.9</v>
      </c>
      <c r="AF93" s="100">
        <f>-3.49366-0.60941</f>
        <v>-4.1030700000000007</v>
      </c>
      <c r="AI93" s="100">
        <v>0</v>
      </c>
    </row>
    <row r="94" spans="1:56" x14ac:dyDescent="0.3">
      <c r="A94" s="124" t="s">
        <v>63</v>
      </c>
      <c r="B94" s="122">
        <v>905</v>
      </c>
      <c r="C94" s="91" t="s">
        <v>124</v>
      </c>
      <c r="D94" s="105" t="s">
        <v>117</v>
      </c>
      <c r="E94" s="91" t="s">
        <v>64</v>
      </c>
      <c r="F94" s="91" t="s">
        <v>51</v>
      </c>
      <c r="G94" s="74">
        <f>G95+G97+G99</f>
        <v>367</v>
      </c>
      <c r="H94" s="74">
        <f>H95+H97+H99</f>
        <v>367</v>
      </c>
      <c r="I94" s="102"/>
    </row>
    <row r="95" spans="1:56" ht="75" hidden="1" x14ac:dyDescent="0.3">
      <c r="A95" s="124" t="s">
        <v>544</v>
      </c>
      <c r="B95" s="122">
        <v>905</v>
      </c>
      <c r="C95" s="91" t="s">
        <v>124</v>
      </c>
      <c r="D95" s="105" t="s">
        <v>117</v>
      </c>
      <c r="E95" s="91" t="s">
        <v>150</v>
      </c>
      <c r="F95" s="91" t="s">
        <v>51</v>
      </c>
      <c r="G95" s="74">
        <f>G96+R95</f>
        <v>0</v>
      </c>
      <c r="H95" s="74">
        <f>H96+S95</f>
        <v>0</v>
      </c>
      <c r="I95" s="102"/>
    </row>
    <row r="96" spans="1:56" ht="37.5" hidden="1" x14ac:dyDescent="0.3">
      <c r="A96" s="124" t="s">
        <v>433</v>
      </c>
      <c r="B96" s="122">
        <v>905</v>
      </c>
      <c r="C96" s="91" t="s">
        <v>124</v>
      </c>
      <c r="D96" s="105" t="s">
        <v>117</v>
      </c>
      <c r="E96" s="91" t="s">
        <v>150</v>
      </c>
      <c r="F96" s="91" t="s">
        <v>60</v>
      </c>
      <c r="G96" s="74">
        <v>0</v>
      </c>
      <c r="H96" s="74">
        <v>0</v>
      </c>
      <c r="I96" s="102"/>
      <c r="R96" s="100">
        <v>-25</v>
      </c>
      <c r="AI96" s="100">
        <v>0</v>
      </c>
    </row>
    <row r="97" spans="1:56" ht="26.25" customHeight="1" x14ac:dyDescent="0.3">
      <c r="A97" s="124" t="s">
        <v>76</v>
      </c>
      <c r="B97" s="122">
        <v>905</v>
      </c>
      <c r="C97" s="91" t="s">
        <v>124</v>
      </c>
      <c r="D97" s="105" t="s">
        <v>117</v>
      </c>
      <c r="E97" s="91" t="s">
        <v>40</v>
      </c>
      <c r="F97" s="91" t="s">
        <v>51</v>
      </c>
      <c r="G97" s="74">
        <f>G98</f>
        <v>367</v>
      </c>
      <c r="H97" s="74">
        <f>H98</f>
        <v>367</v>
      </c>
      <c r="I97" s="102"/>
    </row>
    <row r="98" spans="1:56" ht="37.5" x14ac:dyDescent="0.3">
      <c r="A98" s="124" t="s">
        <v>433</v>
      </c>
      <c r="B98" s="122">
        <v>905</v>
      </c>
      <c r="C98" s="91" t="s">
        <v>124</v>
      </c>
      <c r="D98" s="105" t="s">
        <v>117</v>
      </c>
      <c r="E98" s="91" t="s">
        <v>40</v>
      </c>
      <c r="F98" s="91" t="s">
        <v>60</v>
      </c>
      <c r="G98" s="74">
        <v>367</v>
      </c>
      <c r="H98" s="74">
        <v>367</v>
      </c>
      <c r="I98" s="102"/>
      <c r="AC98" s="100">
        <v>5.65</v>
      </c>
      <c r="AF98" s="100">
        <v>5.65</v>
      </c>
      <c r="AI98" s="100">
        <v>540.5</v>
      </c>
      <c r="AL98" s="102">
        <v>540.5</v>
      </c>
      <c r="AM98" s="102">
        <v>540.5</v>
      </c>
      <c r="AR98" s="101">
        <v>514.6</v>
      </c>
      <c r="AT98" s="101">
        <v>514.6</v>
      </c>
      <c r="BA98" s="227">
        <v>384.2</v>
      </c>
      <c r="BB98" s="223">
        <v>384.2</v>
      </c>
    </row>
    <row r="99" spans="1:56" ht="28.5" hidden="1" customHeight="1" outlineLevel="1" x14ac:dyDescent="0.3">
      <c r="A99" s="124" t="s">
        <v>65</v>
      </c>
      <c r="B99" s="122">
        <v>905</v>
      </c>
      <c r="C99" s="91" t="s">
        <v>124</v>
      </c>
      <c r="D99" s="105" t="s">
        <v>117</v>
      </c>
      <c r="E99" s="91" t="s">
        <v>66</v>
      </c>
      <c r="F99" s="91" t="s">
        <v>51</v>
      </c>
      <c r="G99" s="74">
        <f>G100+G101</f>
        <v>0</v>
      </c>
      <c r="H99" s="74">
        <f>H100+H101</f>
        <v>0</v>
      </c>
      <c r="I99" s="102"/>
    </row>
    <row r="100" spans="1:56" ht="37.5" hidden="1" outlineLevel="1" x14ac:dyDescent="0.3">
      <c r="A100" s="124" t="s">
        <v>59</v>
      </c>
      <c r="B100" s="122">
        <v>905</v>
      </c>
      <c r="C100" s="91" t="s">
        <v>124</v>
      </c>
      <c r="D100" s="105" t="s">
        <v>117</v>
      </c>
      <c r="E100" s="91" t="s">
        <v>66</v>
      </c>
      <c r="F100" s="91" t="s">
        <v>60</v>
      </c>
      <c r="G100" s="74"/>
      <c r="H100" s="74"/>
      <c r="I100" s="102"/>
    </row>
    <row r="101" spans="1:56" hidden="1" outlineLevel="1" x14ac:dyDescent="0.3">
      <c r="A101" s="124" t="s">
        <v>61</v>
      </c>
      <c r="B101" s="122">
        <v>905</v>
      </c>
      <c r="C101" s="91" t="s">
        <v>124</v>
      </c>
      <c r="D101" s="105" t="s">
        <v>117</v>
      </c>
      <c r="E101" s="91" t="s">
        <v>66</v>
      </c>
      <c r="F101" s="91" t="s">
        <v>62</v>
      </c>
      <c r="G101" s="74"/>
      <c r="H101" s="74"/>
      <c r="I101" s="102"/>
    </row>
    <row r="102" spans="1:56" ht="37.5" hidden="1" collapsed="1" x14ac:dyDescent="0.3">
      <c r="A102" s="135" t="s">
        <v>696</v>
      </c>
      <c r="B102" s="122">
        <v>905</v>
      </c>
      <c r="C102" s="91" t="s">
        <v>124</v>
      </c>
      <c r="D102" s="105" t="s">
        <v>117</v>
      </c>
      <c r="E102" s="91" t="s">
        <v>697</v>
      </c>
      <c r="F102" s="91" t="s">
        <v>51</v>
      </c>
      <c r="G102" s="74">
        <f t="shared" ref="G102:H105" si="3">G103</f>
        <v>0</v>
      </c>
      <c r="H102" s="74">
        <f t="shared" si="3"/>
        <v>0</v>
      </c>
      <c r="I102" s="102"/>
    </row>
    <row r="103" spans="1:56" hidden="1" x14ac:dyDescent="0.3">
      <c r="A103" s="135" t="s">
        <v>700</v>
      </c>
      <c r="B103" s="122">
        <v>905</v>
      </c>
      <c r="C103" s="91" t="s">
        <v>124</v>
      </c>
      <c r="D103" s="105" t="s">
        <v>117</v>
      </c>
      <c r="E103" s="91" t="s">
        <v>701</v>
      </c>
      <c r="F103" s="91" t="s">
        <v>51</v>
      </c>
      <c r="G103" s="74">
        <f t="shared" si="3"/>
        <v>0</v>
      </c>
      <c r="H103" s="74">
        <f t="shared" si="3"/>
        <v>0</v>
      </c>
      <c r="I103" s="102"/>
    </row>
    <row r="104" spans="1:56" ht="75" hidden="1" x14ac:dyDescent="0.3">
      <c r="A104" s="121" t="s">
        <v>252</v>
      </c>
      <c r="B104" s="122">
        <v>905</v>
      </c>
      <c r="C104" s="91" t="s">
        <v>124</v>
      </c>
      <c r="D104" s="105" t="s">
        <v>117</v>
      </c>
      <c r="E104" s="91" t="s">
        <v>702</v>
      </c>
      <c r="F104" s="91" t="s">
        <v>51</v>
      </c>
      <c r="G104" s="74">
        <f t="shared" si="3"/>
        <v>0</v>
      </c>
      <c r="H104" s="74">
        <f t="shared" si="3"/>
        <v>0</v>
      </c>
      <c r="I104" s="102"/>
    </row>
    <row r="105" spans="1:56" ht="99" hidden="1" customHeight="1" x14ac:dyDescent="0.3">
      <c r="A105" s="124" t="s">
        <v>685</v>
      </c>
      <c r="B105" s="122">
        <v>905</v>
      </c>
      <c r="C105" s="91" t="s">
        <v>124</v>
      </c>
      <c r="D105" s="105" t="s">
        <v>117</v>
      </c>
      <c r="E105" s="91" t="s">
        <v>686</v>
      </c>
      <c r="F105" s="91" t="s">
        <v>51</v>
      </c>
      <c r="G105" s="74">
        <f t="shared" si="3"/>
        <v>0</v>
      </c>
      <c r="H105" s="74">
        <f t="shared" si="3"/>
        <v>0</v>
      </c>
      <c r="I105" s="102"/>
    </row>
    <row r="106" spans="1:56" ht="41.25" hidden="1" customHeight="1" x14ac:dyDescent="0.3">
      <c r="A106" s="124" t="s">
        <v>433</v>
      </c>
      <c r="B106" s="122">
        <v>905</v>
      </c>
      <c r="C106" s="91" t="s">
        <v>124</v>
      </c>
      <c r="D106" s="105" t="s">
        <v>117</v>
      </c>
      <c r="E106" s="91" t="s">
        <v>686</v>
      </c>
      <c r="F106" s="91" t="s">
        <v>60</v>
      </c>
      <c r="G106" s="74">
        <v>0</v>
      </c>
      <c r="H106" s="74">
        <v>0</v>
      </c>
      <c r="I106" s="102"/>
      <c r="AI106" s="100">
        <v>0</v>
      </c>
    </row>
    <row r="107" spans="1:56" ht="120.75" hidden="1" customHeight="1" x14ac:dyDescent="0.3">
      <c r="A107" s="124" t="s">
        <v>699</v>
      </c>
      <c r="B107" s="122">
        <v>905</v>
      </c>
      <c r="C107" s="91" t="s">
        <v>124</v>
      </c>
      <c r="D107" s="105" t="s">
        <v>117</v>
      </c>
      <c r="E107" s="91" t="s">
        <v>704</v>
      </c>
      <c r="F107" s="91" t="s">
        <v>51</v>
      </c>
      <c r="G107" s="74">
        <f>G108</f>
        <v>0</v>
      </c>
      <c r="H107" s="74">
        <f>H108</f>
        <v>0</v>
      </c>
      <c r="I107" s="102"/>
    </row>
    <row r="108" spans="1:56" ht="37.5" hidden="1" x14ac:dyDescent="0.3">
      <c r="A108" s="124" t="s">
        <v>433</v>
      </c>
      <c r="B108" s="122">
        <v>905</v>
      </c>
      <c r="C108" s="91" t="s">
        <v>124</v>
      </c>
      <c r="D108" s="105" t="s">
        <v>117</v>
      </c>
      <c r="E108" s="91" t="s">
        <v>704</v>
      </c>
      <c r="F108" s="91" t="s">
        <v>60</v>
      </c>
      <c r="G108" s="74">
        <v>0</v>
      </c>
      <c r="H108" s="74">
        <v>0</v>
      </c>
      <c r="I108" s="102"/>
      <c r="AI108" s="100">
        <v>0</v>
      </c>
    </row>
    <row r="109" spans="1:56" ht="37.5" x14ac:dyDescent="0.3">
      <c r="A109" s="124" t="s">
        <v>69</v>
      </c>
      <c r="B109" s="122">
        <v>905</v>
      </c>
      <c r="C109" s="91" t="s">
        <v>124</v>
      </c>
      <c r="D109" s="105" t="s">
        <v>117</v>
      </c>
      <c r="E109" s="10" t="s">
        <v>821</v>
      </c>
      <c r="F109" s="91" t="s">
        <v>51</v>
      </c>
      <c r="G109" s="74">
        <f>G110+G116</f>
        <v>193227</v>
      </c>
      <c r="H109" s="74">
        <f>H110+H116</f>
        <v>193227</v>
      </c>
      <c r="I109" s="102"/>
    </row>
    <row r="110" spans="1:56" ht="94.5" customHeight="1" x14ac:dyDescent="0.3">
      <c r="A110" s="124" t="s">
        <v>77</v>
      </c>
      <c r="B110" s="122">
        <v>905</v>
      </c>
      <c r="C110" s="91" t="s">
        <v>124</v>
      </c>
      <c r="D110" s="105" t="s">
        <v>117</v>
      </c>
      <c r="E110" s="10" t="s">
        <v>822</v>
      </c>
      <c r="F110" s="91" t="s">
        <v>51</v>
      </c>
      <c r="G110" s="74">
        <f>G111+G112+G113+G114+G115</f>
        <v>193227</v>
      </c>
      <c r="H110" s="74">
        <f>H111+H112+H113+H114+H115</f>
        <v>193227</v>
      </c>
      <c r="I110" s="102"/>
    </row>
    <row r="111" spans="1:56" ht="93.75" x14ac:dyDescent="0.3">
      <c r="A111" s="124" t="s">
        <v>57</v>
      </c>
      <c r="B111" s="122">
        <v>905</v>
      </c>
      <c r="C111" s="91" t="s">
        <v>124</v>
      </c>
      <c r="D111" s="105" t="s">
        <v>117</v>
      </c>
      <c r="E111" s="10" t="s">
        <v>822</v>
      </c>
      <c r="F111" s="91" t="s">
        <v>58</v>
      </c>
      <c r="G111" s="74">
        <f>140057+11207</f>
        <v>151264</v>
      </c>
      <c r="H111" s="74">
        <f>140057+11207</f>
        <v>151264</v>
      </c>
      <c r="I111" s="102"/>
      <c r="K111" s="100">
        <v>-140.9</v>
      </c>
      <c r="U111" s="100">
        <v>-0.55000000000000004</v>
      </c>
      <c r="AE111" s="100">
        <f>-783</f>
        <v>-783</v>
      </c>
      <c r="AI111" s="100">
        <f>86427.1-0.7</f>
        <v>86426.400000000009</v>
      </c>
      <c r="AL111" s="102">
        <v>86426.4</v>
      </c>
      <c r="AM111" s="102">
        <v>86426.4</v>
      </c>
      <c r="AS111" s="136">
        <f>92884+4670</f>
        <v>97554</v>
      </c>
      <c r="AU111" s="136">
        <f>92884+4670</f>
        <v>97554</v>
      </c>
      <c r="BC111" s="236">
        <v>115012.2</v>
      </c>
      <c r="BD111" s="237">
        <v>115012.2</v>
      </c>
    </row>
    <row r="112" spans="1:56" ht="37.5" x14ac:dyDescent="0.3">
      <c r="A112" s="124" t="s">
        <v>433</v>
      </c>
      <c r="B112" s="122">
        <v>905</v>
      </c>
      <c r="C112" s="91" t="s">
        <v>124</v>
      </c>
      <c r="D112" s="105" t="s">
        <v>117</v>
      </c>
      <c r="E112" s="10" t="s">
        <v>822</v>
      </c>
      <c r="F112" s="91" t="s">
        <v>60</v>
      </c>
      <c r="G112" s="74">
        <v>1973</v>
      </c>
      <c r="H112" s="74">
        <v>1973</v>
      </c>
      <c r="I112" s="102"/>
      <c r="K112" s="100">
        <v>66</v>
      </c>
      <c r="AE112" s="100">
        <v>-33</v>
      </c>
      <c r="AI112" s="100">
        <v>1898</v>
      </c>
      <c r="AL112" s="102">
        <v>1898</v>
      </c>
      <c r="AM112" s="102">
        <v>1898</v>
      </c>
      <c r="AS112" s="134">
        <v>1932</v>
      </c>
      <c r="AU112" s="134">
        <v>1932</v>
      </c>
      <c r="BC112" s="236">
        <v>1979</v>
      </c>
      <c r="BD112" s="237">
        <v>1979</v>
      </c>
    </row>
    <row r="113" spans="1:56" hidden="1" x14ac:dyDescent="0.3">
      <c r="A113" s="124" t="s">
        <v>61</v>
      </c>
      <c r="B113" s="122">
        <v>905</v>
      </c>
      <c r="C113" s="91" t="s">
        <v>124</v>
      </c>
      <c r="D113" s="105" t="s">
        <v>117</v>
      </c>
      <c r="E113" s="10" t="s">
        <v>41</v>
      </c>
      <c r="F113" s="91" t="s">
        <v>62</v>
      </c>
      <c r="G113" s="74">
        <v>0</v>
      </c>
      <c r="H113" s="74">
        <v>0</v>
      </c>
      <c r="I113" s="102"/>
      <c r="AS113" s="136"/>
      <c r="AU113" s="136"/>
    </row>
    <row r="114" spans="1:56" ht="56.25" x14ac:dyDescent="0.3">
      <c r="A114" s="124" t="s">
        <v>267</v>
      </c>
      <c r="B114" s="122">
        <v>905</v>
      </c>
      <c r="C114" s="91" t="s">
        <v>124</v>
      </c>
      <c r="D114" s="105" t="s">
        <v>117</v>
      </c>
      <c r="E114" s="10" t="s">
        <v>822</v>
      </c>
      <c r="F114" s="91" t="s">
        <v>264</v>
      </c>
      <c r="G114" s="74">
        <f>37244+2746</f>
        <v>39990</v>
      </c>
      <c r="H114" s="74">
        <f>37244+2746</f>
        <v>39990</v>
      </c>
      <c r="I114" s="102"/>
      <c r="J114" s="100">
        <v>26466</v>
      </c>
      <c r="K114" s="100">
        <v>74.900000000000006</v>
      </c>
      <c r="AE114" s="100">
        <v>47</v>
      </c>
      <c r="AI114" s="100">
        <v>26462.9</v>
      </c>
      <c r="AL114" s="102">
        <v>26462.9</v>
      </c>
      <c r="AM114" s="102">
        <v>26462.9</v>
      </c>
      <c r="AS114" s="134">
        <v>29478</v>
      </c>
      <c r="AU114" s="134">
        <v>29478</v>
      </c>
      <c r="BC114" s="236">
        <v>32159.8</v>
      </c>
      <c r="BD114" s="237">
        <v>32159.8</v>
      </c>
    </row>
    <row r="115" spans="1:56" hidden="1" x14ac:dyDescent="0.3">
      <c r="A115" s="124" t="s">
        <v>61</v>
      </c>
      <c r="B115" s="122">
        <v>905</v>
      </c>
      <c r="C115" s="91" t="s">
        <v>124</v>
      </c>
      <c r="D115" s="105" t="s">
        <v>117</v>
      </c>
      <c r="E115" s="91" t="s">
        <v>41</v>
      </c>
      <c r="F115" s="91" t="s">
        <v>62</v>
      </c>
      <c r="G115" s="74">
        <v>0</v>
      </c>
      <c r="H115" s="74">
        <v>0</v>
      </c>
      <c r="I115" s="102"/>
      <c r="U115" s="100">
        <v>0.55000000000000004</v>
      </c>
      <c r="AI115" s="100">
        <v>0</v>
      </c>
    </row>
    <row r="116" spans="1:56" ht="56.25" hidden="1" x14ac:dyDescent="0.3">
      <c r="A116" s="137" t="s">
        <v>133</v>
      </c>
      <c r="B116" s="122">
        <v>905</v>
      </c>
      <c r="C116" s="91" t="s">
        <v>124</v>
      </c>
      <c r="D116" s="105" t="s">
        <v>117</v>
      </c>
      <c r="E116" s="138" t="s">
        <v>42</v>
      </c>
      <c r="F116" s="138" t="s">
        <v>51</v>
      </c>
      <c r="G116" s="74">
        <f>G117</f>
        <v>0</v>
      </c>
      <c r="H116" s="74">
        <f>H117</f>
        <v>0</v>
      </c>
      <c r="I116" s="102"/>
    </row>
    <row r="117" spans="1:56" ht="93.75" hidden="1" x14ac:dyDescent="0.3">
      <c r="A117" s="124" t="s">
        <v>57</v>
      </c>
      <c r="B117" s="122">
        <v>905</v>
      </c>
      <c r="C117" s="91" t="s">
        <v>124</v>
      </c>
      <c r="D117" s="105" t="s">
        <v>117</v>
      </c>
      <c r="E117" s="91" t="s">
        <v>42</v>
      </c>
      <c r="F117" s="91" t="s">
        <v>58</v>
      </c>
      <c r="G117" s="74">
        <v>0</v>
      </c>
      <c r="H117" s="74">
        <v>0</v>
      </c>
      <c r="I117" s="102"/>
      <c r="AE117" s="100">
        <v>2957.1</v>
      </c>
      <c r="AI117" s="100">
        <v>5914.2</v>
      </c>
      <c r="AL117" s="102">
        <v>0</v>
      </c>
      <c r="AM117" s="102">
        <v>0</v>
      </c>
    </row>
    <row r="118" spans="1:56" ht="56.25" x14ac:dyDescent="0.3">
      <c r="A118" s="124" t="s">
        <v>767</v>
      </c>
      <c r="B118" s="9">
        <v>905</v>
      </c>
      <c r="C118" s="10" t="s">
        <v>124</v>
      </c>
      <c r="D118" s="221" t="s">
        <v>117</v>
      </c>
      <c r="E118" s="10" t="s">
        <v>823</v>
      </c>
      <c r="F118" s="10" t="s">
        <v>51</v>
      </c>
      <c r="G118" s="74">
        <f>G119+G120</f>
        <v>1408.2</v>
      </c>
      <c r="H118" s="74">
        <f>H119+H120</f>
        <v>1408.2</v>
      </c>
      <c r="I118" s="102"/>
    </row>
    <row r="119" spans="1:56" ht="37.5" x14ac:dyDescent="0.3">
      <c r="A119" s="124" t="s">
        <v>433</v>
      </c>
      <c r="B119" s="9">
        <v>905</v>
      </c>
      <c r="C119" s="10" t="s">
        <v>124</v>
      </c>
      <c r="D119" s="221" t="s">
        <v>117</v>
      </c>
      <c r="E119" s="10" t="s">
        <v>823</v>
      </c>
      <c r="F119" s="10" t="s">
        <v>60</v>
      </c>
      <c r="G119" s="74">
        <v>704.1</v>
      </c>
      <c r="H119" s="74">
        <v>704.1</v>
      </c>
      <c r="I119" s="102"/>
      <c r="BC119" s="236">
        <v>768.1</v>
      </c>
      <c r="BD119" s="237">
        <v>768.1</v>
      </c>
    </row>
    <row r="120" spans="1:56" ht="56.25" x14ac:dyDescent="0.3">
      <c r="A120" s="124" t="s">
        <v>267</v>
      </c>
      <c r="B120" s="9">
        <v>905</v>
      </c>
      <c r="C120" s="10" t="s">
        <v>124</v>
      </c>
      <c r="D120" s="221" t="s">
        <v>117</v>
      </c>
      <c r="E120" s="10" t="s">
        <v>823</v>
      </c>
      <c r="F120" s="10" t="s">
        <v>264</v>
      </c>
      <c r="G120" s="74">
        <v>704.1</v>
      </c>
      <c r="H120" s="74">
        <v>704.1</v>
      </c>
      <c r="I120" s="102"/>
      <c r="BC120" s="236">
        <v>768.1</v>
      </c>
      <c r="BD120" s="237">
        <v>768.1</v>
      </c>
    </row>
    <row r="121" spans="1:56" ht="93.75" x14ac:dyDescent="0.3">
      <c r="A121" s="124" t="s">
        <v>878</v>
      </c>
      <c r="B121" s="9">
        <v>905</v>
      </c>
      <c r="C121" s="10" t="s">
        <v>124</v>
      </c>
      <c r="D121" s="221" t="s">
        <v>117</v>
      </c>
      <c r="E121" s="10" t="s">
        <v>879</v>
      </c>
      <c r="F121" s="10" t="s">
        <v>51</v>
      </c>
      <c r="G121" s="74">
        <f>G122+G123</f>
        <v>539.1</v>
      </c>
      <c r="H121" s="74">
        <f>H122+H123</f>
        <v>539.1</v>
      </c>
      <c r="I121" s="102"/>
    </row>
    <row r="122" spans="1:56" ht="93.75" x14ac:dyDescent="0.3">
      <c r="A122" s="124" t="s">
        <v>57</v>
      </c>
      <c r="B122" s="9">
        <v>905</v>
      </c>
      <c r="C122" s="10" t="s">
        <v>124</v>
      </c>
      <c r="D122" s="221" t="s">
        <v>117</v>
      </c>
      <c r="E122" s="10" t="s">
        <v>879</v>
      </c>
      <c r="F122" s="10" t="s">
        <v>58</v>
      </c>
      <c r="G122" s="74">
        <v>449.25</v>
      </c>
      <c r="H122" s="74">
        <v>449.25</v>
      </c>
      <c r="I122" s="102"/>
    </row>
    <row r="123" spans="1:56" ht="56.25" x14ac:dyDescent="0.3">
      <c r="A123" s="124" t="s">
        <v>267</v>
      </c>
      <c r="B123" s="9">
        <v>905</v>
      </c>
      <c r="C123" s="10" t="s">
        <v>124</v>
      </c>
      <c r="D123" s="221" t="s">
        <v>117</v>
      </c>
      <c r="E123" s="10" t="s">
        <v>879</v>
      </c>
      <c r="F123" s="10" t="s">
        <v>264</v>
      </c>
      <c r="G123" s="74">
        <v>89.85</v>
      </c>
      <c r="H123" s="74">
        <v>89.85</v>
      </c>
      <c r="I123" s="102"/>
    </row>
    <row r="124" spans="1:56" ht="56.25" x14ac:dyDescent="0.3">
      <c r="A124" s="124" t="s">
        <v>485</v>
      </c>
      <c r="B124" s="122">
        <v>905</v>
      </c>
      <c r="C124" s="91" t="s">
        <v>124</v>
      </c>
      <c r="D124" s="105" t="s">
        <v>117</v>
      </c>
      <c r="E124" s="10" t="s">
        <v>842</v>
      </c>
      <c r="F124" s="91" t="s">
        <v>51</v>
      </c>
      <c r="G124" s="74">
        <f>G125+G126</f>
        <v>24975</v>
      </c>
      <c r="H124" s="74">
        <f>H125+H126</f>
        <v>24975</v>
      </c>
      <c r="I124" s="102"/>
    </row>
    <row r="125" spans="1:56" ht="93.75" x14ac:dyDescent="0.3">
      <c r="A125" s="124" t="s">
        <v>57</v>
      </c>
      <c r="B125" s="122">
        <v>905</v>
      </c>
      <c r="C125" s="91" t="s">
        <v>124</v>
      </c>
      <c r="D125" s="105" t="s">
        <v>117</v>
      </c>
      <c r="E125" s="10" t="s">
        <v>842</v>
      </c>
      <c r="F125" s="91" t="s">
        <v>58</v>
      </c>
      <c r="G125" s="74">
        <v>19764.400000000001</v>
      </c>
      <c r="H125" s="74">
        <f>19764.4</f>
        <v>19764.400000000001</v>
      </c>
      <c r="I125" s="102">
        <v>359.4</v>
      </c>
      <c r="L125" s="100">
        <v>-79.2</v>
      </c>
      <c r="AI125" s="100">
        <v>9433</v>
      </c>
      <c r="AL125" s="102">
        <v>9433</v>
      </c>
      <c r="AM125" s="102">
        <v>9433</v>
      </c>
      <c r="AS125" s="101">
        <v>9972</v>
      </c>
      <c r="AU125" s="101">
        <v>9972</v>
      </c>
      <c r="BC125" s="236">
        <v>12218</v>
      </c>
      <c r="BD125" s="237">
        <v>12218</v>
      </c>
    </row>
    <row r="126" spans="1:56" ht="56.25" x14ac:dyDescent="0.3">
      <c r="A126" s="124" t="s">
        <v>267</v>
      </c>
      <c r="B126" s="122">
        <v>905</v>
      </c>
      <c r="C126" s="91" t="s">
        <v>124</v>
      </c>
      <c r="D126" s="105" t="s">
        <v>117</v>
      </c>
      <c r="E126" s="10" t="s">
        <v>842</v>
      </c>
      <c r="F126" s="91" t="s">
        <v>264</v>
      </c>
      <c r="G126" s="74">
        <v>5210.6000000000004</v>
      </c>
      <c r="H126" s="74">
        <v>5210.6000000000004</v>
      </c>
      <c r="I126" s="102"/>
      <c r="J126" s="100">
        <v>2615.9</v>
      </c>
      <c r="L126" s="100">
        <v>79.2</v>
      </c>
      <c r="AI126" s="100">
        <v>2605.3000000000002</v>
      </c>
      <c r="AL126" s="102">
        <v>2605.3000000000002</v>
      </c>
      <c r="AM126" s="102">
        <v>2605.3000000000002</v>
      </c>
      <c r="AS126" s="101">
        <v>2605.3000000000002</v>
      </c>
      <c r="AU126" s="101">
        <v>2605.3000000000002</v>
      </c>
    </row>
    <row r="127" spans="1:56" ht="75.75" customHeight="1" x14ac:dyDescent="0.3">
      <c r="A127" s="124" t="s">
        <v>675</v>
      </c>
      <c r="B127" s="122">
        <v>905</v>
      </c>
      <c r="C127" s="91" t="s">
        <v>124</v>
      </c>
      <c r="D127" s="105" t="s">
        <v>117</v>
      </c>
      <c r="E127" s="10" t="s">
        <v>836</v>
      </c>
      <c r="F127" s="91" t="s">
        <v>51</v>
      </c>
      <c r="G127" s="74">
        <f>G128+G129</f>
        <v>14725</v>
      </c>
      <c r="H127" s="74">
        <f>H128+H129</f>
        <v>13784</v>
      </c>
      <c r="I127" s="102"/>
    </row>
    <row r="128" spans="1:56" ht="37.5" x14ac:dyDescent="0.3">
      <c r="A128" s="124" t="s">
        <v>433</v>
      </c>
      <c r="B128" s="122">
        <v>905</v>
      </c>
      <c r="C128" s="91" t="s">
        <v>124</v>
      </c>
      <c r="D128" s="105" t="s">
        <v>117</v>
      </c>
      <c r="E128" s="10" t="s">
        <v>836</v>
      </c>
      <c r="F128" s="91" t="s">
        <v>60</v>
      </c>
      <c r="G128" s="74">
        <f>11858.8-776.6</f>
        <v>11082.199999999999</v>
      </c>
      <c r="H128" s="74">
        <f>11222.9-829.9</f>
        <v>10393</v>
      </c>
      <c r="I128" s="102">
        <v>1038.8</v>
      </c>
      <c r="K128" s="100">
        <v>10.5</v>
      </c>
      <c r="L128" s="100">
        <v>-247.1</v>
      </c>
      <c r="AI128" s="100">
        <v>11775.8</v>
      </c>
      <c r="AL128" s="102">
        <v>11474.3</v>
      </c>
      <c r="AM128" s="102">
        <v>11770.4</v>
      </c>
      <c r="AN128" s="100">
        <v>6.3</v>
      </c>
      <c r="AO128" s="103">
        <v>0.2</v>
      </c>
      <c r="AP128" s="100">
        <v>-4.4000000000000004</v>
      </c>
      <c r="AR128" s="101">
        <f>125.9+0.7</f>
        <v>126.60000000000001</v>
      </c>
      <c r="AS128" s="101">
        <v>12523.5</v>
      </c>
      <c r="AT128" s="101">
        <v>126.6</v>
      </c>
      <c r="AU128" s="101">
        <v>12770.4</v>
      </c>
      <c r="AX128" s="219">
        <v>11.1</v>
      </c>
      <c r="AY128" s="100">
        <v>0.6</v>
      </c>
      <c r="AZ128" s="100">
        <v>50.1</v>
      </c>
      <c r="BC128" s="236">
        <f>16532+167</f>
        <v>16699</v>
      </c>
      <c r="BD128" s="237">
        <f>16408+165.8</f>
        <v>16573.8</v>
      </c>
    </row>
    <row r="129" spans="1:51" ht="46.5" customHeight="1" x14ac:dyDescent="0.3">
      <c r="A129" s="124" t="s">
        <v>267</v>
      </c>
      <c r="B129" s="122">
        <v>905</v>
      </c>
      <c r="C129" s="91" t="s">
        <v>124</v>
      </c>
      <c r="D129" s="105" t="s">
        <v>117</v>
      </c>
      <c r="E129" s="10" t="s">
        <v>836</v>
      </c>
      <c r="F129" s="91" t="s">
        <v>264</v>
      </c>
      <c r="G129" s="74">
        <f>3742.8-100</f>
        <v>3642.8</v>
      </c>
      <c r="H129" s="74">
        <f>3541-150</f>
        <v>3391</v>
      </c>
      <c r="I129" s="102"/>
      <c r="J129" s="100">
        <v>3028.6</v>
      </c>
      <c r="L129" s="100">
        <v>247.1</v>
      </c>
      <c r="AI129" s="100">
        <v>3417.1</v>
      </c>
      <c r="AL129" s="102">
        <v>3318.6</v>
      </c>
      <c r="AM129" s="102">
        <v>3415.9</v>
      </c>
      <c r="AN129" s="100">
        <v>2</v>
      </c>
      <c r="AP129" s="100">
        <v>-1.1000000000000001</v>
      </c>
      <c r="AR129" s="101">
        <v>37.1</v>
      </c>
      <c r="AS129" s="101">
        <v>3682.4</v>
      </c>
      <c r="AT129" s="101">
        <v>37.1</v>
      </c>
      <c r="AU129" s="101">
        <v>3764.6</v>
      </c>
      <c r="AW129" s="219">
        <v>0.7</v>
      </c>
      <c r="AX129" s="219">
        <v>56.2</v>
      </c>
      <c r="AY129" s="100">
        <v>0</v>
      </c>
    </row>
    <row r="130" spans="1:51" ht="56.25" hidden="1" x14ac:dyDescent="0.3">
      <c r="A130" s="121" t="s">
        <v>0</v>
      </c>
      <c r="B130" s="122">
        <v>905</v>
      </c>
      <c r="C130" s="91" t="s">
        <v>124</v>
      </c>
      <c r="D130" s="105" t="s">
        <v>117</v>
      </c>
      <c r="E130" s="123" t="s">
        <v>93</v>
      </c>
      <c r="F130" s="91" t="s">
        <v>51</v>
      </c>
      <c r="G130" s="74">
        <f t="shared" ref="G130:H132" si="4">G131</f>
        <v>0</v>
      </c>
      <c r="H130" s="74">
        <f t="shared" si="4"/>
        <v>0</v>
      </c>
      <c r="I130" s="102"/>
    </row>
    <row r="131" spans="1:51" ht="75" hidden="1" x14ac:dyDescent="0.3">
      <c r="A131" s="121" t="s">
        <v>2</v>
      </c>
      <c r="B131" s="122">
        <v>905</v>
      </c>
      <c r="C131" s="91" t="s">
        <v>124</v>
      </c>
      <c r="D131" s="105" t="s">
        <v>117</v>
      </c>
      <c r="E131" s="123" t="s">
        <v>26</v>
      </c>
      <c r="F131" s="91" t="s">
        <v>51</v>
      </c>
      <c r="G131" s="74">
        <f t="shared" si="4"/>
        <v>0</v>
      </c>
      <c r="H131" s="74">
        <f t="shared" si="4"/>
        <v>0</v>
      </c>
      <c r="I131" s="102"/>
    </row>
    <row r="132" spans="1:51" hidden="1" x14ac:dyDescent="0.3">
      <c r="A132" s="139" t="s">
        <v>63</v>
      </c>
      <c r="B132" s="122">
        <v>905</v>
      </c>
      <c r="C132" s="91" t="s">
        <v>124</v>
      </c>
      <c r="D132" s="105" t="s">
        <v>117</v>
      </c>
      <c r="E132" s="140" t="s">
        <v>290</v>
      </c>
      <c r="F132" s="140" t="s">
        <v>51</v>
      </c>
      <c r="G132" s="74">
        <f t="shared" si="4"/>
        <v>0</v>
      </c>
      <c r="H132" s="74">
        <f t="shared" si="4"/>
        <v>0</v>
      </c>
      <c r="I132" s="102"/>
    </row>
    <row r="133" spans="1:51" hidden="1" x14ac:dyDescent="0.3">
      <c r="A133" s="139" t="s">
        <v>289</v>
      </c>
      <c r="B133" s="122">
        <v>905</v>
      </c>
      <c r="C133" s="91" t="s">
        <v>124</v>
      </c>
      <c r="D133" s="105" t="s">
        <v>117</v>
      </c>
      <c r="E133" s="140" t="s">
        <v>291</v>
      </c>
      <c r="F133" s="140" t="s">
        <v>51</v>
      </c>
      <c r="G133" s="74">
        <f>G134+G135</f>
        <v>0</v>
      </c>
      <c r="H133" s="74">
        <f>H134+H135</f>
        <v>0</v>
      </c>
      <c r="I133" s="102"/>
    </row>
    <row r="134" spans="1:51" ht="93.75" hidden="1" x14ac:dyDescent="0.3">
      <c r="A134" s="124" t="s">
        <v>57</v>
      </c>
      <c r="B134" s="122">
        <v>905</v>
      </c>
      <c r="C134" s="91" t="s">
        <v>124</v>
      </c>
      <c r="D134" s="105" t="s">
        <v>117</v>
      </c>
      <c r="E134" s="91" t="s">
        <v>291</v>
      </c>
      <c r="F134" s="91" t="s">
        <v>58</v>
      </c>
      <c r="G134" s="74">
        <v>0</v>
      </c>
      <c r="H134" s="74">
        <v>0</v>
      </c>
      <c r="I134" s="102"/>
      <c r="R134" s="100">
        <v>90</v>
      </c>
      <c r="AI134" s="100">
        <v>0</v>
      </c>
    </row>
    <row r="135" spans="1:51" ht="48" hidden="1" customHeight="1" x14ac:dyDescent="0.3">
      <c r="A135" s="124" t="s">
        <v>267</v>
      </c>
      <c r="B135" s="122">
        <v>905</v>
      </c>
      <c r="C135" s="91" t="s">
        <v>124</v>
      </c>
      <c r="D135" s="105" t="s">
        <v>117</v>
      </c>
      <c r="E135" s="91" t="s">
        <v>291</v>
      </c>
      <c r="F135" s="91" t="s">
        <v>264</v>
      </c>
      <c r="G135" s="74">
        <v>0</v>
      </c>
      <c r="H135" s="74">
        <v>0</v>
      </c>
      <c r="I135" s="102"/>
      <c r="R135" s="100">
        <v>30</v>
      </c>
      <c r="AI135" s="100">
        <v>0</v>
      </c>
    </row>
    <row r="136" spans="1:51" ht="48" hidden="1" customHeight="1" x14ac:dyDescent="0.3">
      <c r="A136" s="141" t="s">
        <v>696</v>
      </c>
      <c r="B136" s="122">
        <v>905</v>
      </c>
      <c r="C136" s="91" t="s">
        <v>124</v>
      </c>
      <c r="D136" s="105" t="s">
        <v>117</v>
      </c>
      <c r="E136" s="91" t="s">
        <v>697</v>
      </c>
      <c r="F136" s="91" t="s">
        <v>51</v>
      </c>
      <c r="G136" s="74">
        <f>G137</f>
        <v>0</v>
      </c>
      <c r="H136" s="74">
        <f>H137</f>
        <v>0</v>
      </c>
      <c r="I136" s="102"/>
    </row>
    <row r="137" spans="1:51" ht="22.5" hidden="1" customHeight="1" x14ac:dyDescent="0.3">
      <c r="A137" s="141" t="s">
        <v>748</v>
      </c>
      <c r="B137" s="122">
        <v>905</v>
      </c>
      <c r="C137" s="91" t="s">
        <v>124</v>
      </c>
      <c r="D137" s="105" t="s">
        <v>117</v>
      </c>
      <c r="E137" s="91" t="s">
        <v>746</v>
      </c>
      <c r="F137" s="91" t="s">
        <v>51</v>
      </c>
      <c r="G137" s="74">
        <f>G138</f>
        <v>0</v>
      </c>
      <c r="H137" s="74">
        <f>H138</f>
        <v>0</v>
      </c>
      <c r="I137" s="102"/>
    </row>
    <row r="138" spans="1:51" ht="65.25" hidden="1" customHeight="1" x14ac:dyDescent="0.3">
      <c r="A138" s="141" t="s">
        <v>749</v>
      </c>
      <c r="B138" s="122">
        <v>905</v>
      </c>
      <c r="C138" s="91" t="s">
        <v>124</v>
      </c>
      <c r="D138" s="105" t="s">
        <v>117</v>
      </c>
      <c r="E138" s="91" t="s">
        <v>747</v>
      </c>
      <c r="F138" s="91" t="s">
        <v>51</v>
      </c>
      <c r="G138" s="74">
        <f>G139+G140</f>
        <v>0</v>
      </c>
      <c r="H138" s="74">
        <f>H139+H140</f>
        <v>0</v>
      </c>
      <c r="I138" s="102"/>
    </row>
    <row r="139" spans="1:51" ht="48" hidden="1" customHeight="1" x14ac:dyDescent="0.3">
      <c r="A139" s="124" t="s">
        <v>433</v>
      </c>
      <c r="B139" s="122">
        <v>905</v>
      </c>
      <c r="C139" s="91" t="s">
        <v>124</v>
      </c>
      <c r="D139" s="105" t="s">
        <v>117</v>
      </c>
      <c r="E139" s="91" t="s">
        <v>747</v>
      </c>
      <c r="F139" s="91" t="s">
        <v>60</v>
      </c>
      <c r="G139" s="74">
        <v>0</v>
      </c>
      <c r="H139" s="74">
        <v>0</v>
      </c>
      <c r="I139" s="102"/>
      <c r="AN139" s="100">
        <v>1261.8</v>
      </c>
      <c r="AO139" s="103">
        <v>12.8</v>
      </c>
      <c r="AP139" s="100">
        <v>2398.8000000000002</v>
      </c>
      <c r="AQ139" s="100">
        <v>24.3</v>
      </c>
    </row>
    <row r="140" spans="1:51" ht="48" hidden="1" customHeight="1" x14ac:dyDescent="0.3">
      <c r="A140" s="124" t="s">
        <v>267</v>
      </c>
      <c r="B140" s="122">
        <v>905</v>
      </c>
      <c r="C140" s="91" t="s">
        <v>124</v>
      </c>
      <c r="D140" s="105" t="s">
        <v>117</v>
      </c>
      <c r="E140" s="91" t="s">
        <v>747</v>
      </c>
      <c r="F140" s="91" t="s">
        <v>264</v>
      </c>
      <c r="G140" s="74">
        <v>0</v>
      </c>
      <c r="H140" s="74">
        <f>AP140+AQ140</f>
        <v>0</v>
      </c>
      <c r="I140" s="102"/>
      <c r="AN140" s="100">
        <v>3000.2</v>
      </c>
      <c r="AO140" s="103">
        <v>30.6</v>
      </c>
    </row>
    <row r="141" spans="1:51" ht="48" hidden="1" customHeight="1" x14ac:dyDescent="0.3">
      <c r="A141" s="4" t="s">
        <v>696</v>
      </c>
      <c r="B141" s="9">
        <v>905</v>
      </c>
      <c r="C141" s="10" t="s">
        <v>124</v>
      </c>
      <c r="D141" s="221" t="s">
        <v>117</v>
      </c>
      <c r="E141" s="10" t="s">
        <v>758</v>
      </c>
      <c r="F141" s="10" t="s">
        <v>51</v>
      </c>
      <c r="G141" s="74">
        <f t="shared" ref="G141:H143" si="5">G142</f>
        <v>0</v>
      </c>
      <c r="H141" s="74">
        <f t="shared" si="5"/>
        <v>0</v>
      </c>
      <c r="I141" s="102"/>
    </row>
    <row r="142" spans="1:51" ht="30" hidden="1" customHeight="1" x14ac:dyDescent="0.3">
      <c r="A142" s="124" t="s">
        <v>748</v>
      </c>
      <c r="B142" s="9">
        <v>905</v>
      </c>
      <c r="C142" s="10" t="s">
        <v>124</v>
      </c>
      <c r="D142" s="221" t="s">
        <v>117</v>
      </c>
      <c r="E142" s="10" t="s">
        <v>746</v>
      </c>
      <c r="F142" s="10" t="s">
        <v>51</v>
      </c>
      <c r="G142" s="74">
        <f t="shared" si="5"/>
        <v>0</v>
      </c>
      <c r="H142" s="74">
        <f t="shared" si="5"/>
        <v>0</v>
      </c>
      <c r="I142" s="102"/>
    </row>
    <row r="143" spans="1:51" ht="123" hidden="1" customHeight="1" x14ac:dyDescent="0.3">
      <c r="A143" s="222" t="s">
        <v>759</v>
      </c>
      <c r="B143" s="9">
        <v>905</v>
      </c>
      <c r="C143" s="10" t="s">
        <v>124</v>
      </c>
      <c r="D143" s="221" t="s">
        <v>117</v>
      </c>
      <c r="E143" s="10" t="s">
        <v>760</v>
      </c>
      <c r="F143" s="10" t="s">
        <v>51</v>
      </c>
      <c r="G143" s="74">
        <f t="shared" si="5"/>
        <v>0</v>
      </c>
      <c r="H143" s="74">
        <f t="shared" si="5"/>
        <v>0</v>
      </c>
      <c r="I143" s="102"/>
    </row>
    <row r="144" spans="1:51" ht="48" hidden="1" customHeight="1" x14ac:dyDescent="0.3">
      <c r="A144" s="124" t="s">
        <v>433</v>
      </c>
      <c r="B144" s="9">
        <v>905</v>
      </c>
      <c r="C144" s="10" t="s">
        <v>124</v>
      </c>
      <c r="D144" s="221" t="s">
        <v>117</v>
      </c>
      <c r="E144" s="10" t="s">
        <v>760</v>
      </c>
      <c r="F144" s="10" t="s">
        <v>60</v>
      </c>
      <c r="G144" s="74">
        <v>0</v>
      </c>
      <c r="H144" s="74">
        <v>0</v>
      </c>
      <c r="I144" s="102"/>
      <c r="AW144" s="219">
        <v>9.6999999999999993</v>
      </c>
      <c r="AX144" s="219">
        <v>955.9</v>
      </c>
    </row>
    <row r="145" spans="1:56" ht="48" customHeight="1" x14ac:dyDescent="0.3">
      <c r="A145" s="88" t="s">
        <v>880</v>
      </c>
      <c r="B145" s="122">
        <v>905</v>
      </c>
      <c r="C145" s="91" t="s">
        <v>124</v>
      </c>
      <c r="D145" s="105" t="s">
        <v>117</v>
      </c>
      <c r="E145" s="10" t="s">
        <v>881</v>
      </c>
      <c r="F145" s="10" t="s">
        <v>51</v>
      </c>
      <c r="G145" s="74">
        <f>G146</f>
        <v>85966.2</v>
      </c>
      <c r="H145" s="74">
        <f>H146</f>
        <v>0</v>
      </c>
      <c r="I145" s="102"/>
    </row>
    <row r="146" spans="1:56" ht="48" customHeight="1" x14ac:dyDescent="0.3">
      <c r="A146" s="124" t="s">
        <v>433</v>
      </c>
      <c r="B146" s="122">
        <v>905</v>
      </c>
      <c r="C146" s="91" t="s">
        <v>124</v>
      </c>
      <c r="D146" s="105" t="s">
        <v>117</v>
      </c>
      <c r="E146" s="10" t="s">
        <v>881</v>
      </c>
      <c r="F146" s="10" t="s">
        <v>60</v>
      </c>
      <c r="G146" s="74">
        <f>85106.4+859.8</f>
        <v>85966.2</v>
      </c>
      <c r="H146" s="74">
        <v>0</v>
      </c>
      <c r="I146" s="102"/>
    </row>
    <row r="147" spans="1:56" ht="48" customHeight="1" x14ac:dyDescent="0.3">
      <c r="A147" s="4" t="s">
        <v>142</v>
      </c>
      <c r="B147" s="9">
        <v>905</v>
      </c>
      <c r="C147" s="10" t="s">
        <v>124</v>
      </c>
      <c r="D147" s="221" t="s">
        <v>117</v>
      </c>
      <c r="E147" s="10" t="s">
        <v>80</v>
      </c>
      <c r="F147" s="10" t="s">
        <v>51</v>
      </c>
      <c r="G147" s="74">
        <f t="shared" ref="G147:H149" si="6">G148</f>
        <v>1555.8000000000002</v>
      </c>
      <c r="H147" s="74">
        <f t="shared" si="6"/>
        <v>1600.5</v>
      </c>
      <c r="I147" s="102"/>
    </row>
    <row r="148" spans="1:56" ht="48" hidden="1" customHeight="1" x14ac:dyDescent="0.3">
      <c r="A148" s="4" t="s">
        <v>696</v>
      </c>
      <c r="B148" s="9">
        <v>905</v>
      </c>
      <c r="C148" s="10" t="s">
        <v>124</v>
      </c>
      <c r="D148" s="221" t="s">
        <v>117</v>
      </c>
      <c r="E148" s="10" t="s">
        <v>756</v>
      </c>
      <c r="F148" s="10" t="s">
        <v>51</v>
      </c>
      <c r="G148" s="74">
        <f t="shared" si="6"/>
        <v>1555.8000000000002</v>
      </c>
      <c r="H148" s="74">
        <f t="shared" si="6"/>
        <v>1600.5</v>
      </c>
      <c r="I148" s="102"/>
    </row>
    <row r="149" spans="1:56" ht="48" hidden="1" customHeight="1" x14ac:dyDescent="0.3">
      <c r="A149" s="12" t="s">
        <v>754</v>
      </c>
      <c r="B149" s="9">
        <v>905</v>
      </c>
      <c r="C149" s="10" t="s">
        <v>124</v>
      </c>
      <c r="D149" s="221" t="s">
        <v>117</v>
      </c>
      <c r="E149" s="10" t="s">
        <v>757</v>
      </c>
      <c r="F149" s="10" t="s">
        <v>51</v>
      </c>
      <c r="G149" s="74">
        <f t="shared" si="6"/>
        <v>1555.8000000000002</v>
      </c>
      <c r="H149" s="74">
        <f t="shared" si="6"/>
        <v>1600.5</v>
      </c>
      <c r="I149" s="102"/>
    </row>
    <row r="150" spans="1:56" ht="78" customHeight="1" x14ac:dyDescent="0.3">
      <c r="A150" s="12" t="s">
        <v>755</v>
      </c>
      <c r="B150" s="9">
        <v>905</v>
      </c>
      <c r="C150" s="10" t="s">
        <v>124</v>
      </c>
      <c r="D150" s="221" t="s">
        <v>117</v>
      </c>
      <c r="E150" s="10" t="s">
        <v>883</v>
      </c>
      <c r="F150" s="10" t="s">
        <v>51</v>
      </c>
      <c r="G150" s="74">
        <f>G151+G152</f>
        <v>1555.8000000000002</v>
      </c>
      <c r="H150" s="74">
        <f>H151+H152</f>
        <v>1600.5</v>
      </c>
      <c r="I150" s="102"/>
    </row>
    <row r="151" spans="1:56" ht="100.5" customHeight="1" x14ac:dyDescent="0.3">
      <c r="A151" s="12" t="s">
        <v>57</v>
      </c>
      <c r="B151" s="9">
        <v>905</v>
      </c>
      <c r="C151" s="10" t="s">
        <v>124</v>
      </c>
      <c r="D151" s="221" t="s">
        <v>117</v>
      </c>
      <c r="E151" s="10" t="s">
        <v>883</v>
      </c>
      <c r="F151" s="10" t="s">
        <v>58</v>
      </c>
      <c r="G151" s="74">
        <f>1423.4-128.5</f>
        <v>1294.9000000000001</v>
      </c>
      <c r="H151" s="74">
        <f>1453.34-119.6</f>
        <v>1333.74</v>
      </c>
      <c r="I151" s="102"/>
      <c r="AW151" s="219">
        <v>15.3</v>
      </c>
      <c r="AX151" s="219">
        <v>1513</v>
      </c>
      <c r="AY151" s="100">
        <v>15.3</v>
      </c>
      <c r="AZ151" s="100">
        <v>1513</v>
      </c>
      <c r="BC151" s="236">
        <f>1509.5+15.3</f>
        <v>1524.8</v>
      </c>
      <c r="BD151" s="237">
        <f>1712.8+17.3</f>
        <v>1730.1</v>
      </c>
    </row>
    <row r="152" spans="1:56" ht="58.5" customHeight="1" x14ac:dyDescent="0.3">
      <c r="A152" s="124" t="s">
        <v>267</v>
      </c>
      <c r="B152" s="9">
        <v>905</v>
      </c>
      <c r="C152" s="10" t="s">
        <v>124</v>
      </c>
      <c r="D152" s="221" t="s">
        <v>117</v>
      </c>
      <c r="E152" s="10" t="s">
        <v>883</v>
      </c>
      <c r="F152" s="10" t="s">
        <v>264</v>
      </c>
      <c r="G152" s="74">
        <f>286.5-25.6</f>
        <v>260.89999999999998</v>
      </c>
      <c r="H152" s="74">
        <f>290.66-23.9</f>
        <v>266.76000000000005</v>
      </c>
      <c r="I152" s="102"/>
    </row>
    <row r="153" spans="1:56" x14ac:dyDescent="0.3">
      <c r="A153" s="119" t="s">
        <v>127</v>
      </c>
      <c r="B153" s="118">
        <v>905</v>
      </c>
      <c r="C153" s="114" t="s">
        <v>124</v>
      </c>
      <c r="D153" s="120" t="s">
        <v>118</v>
      </c>
      <c r="E153" s="114" t="s">
        <v>50</v>
      </c>
      <c r="F153" s="114" t="s">
        <v>51</v>
      </c>
      <c r="G153" s="93">
        <f>G154+G178+G183</f>
        <v>8358.7999999999993</v>
      </c>
      <c r="H153" s="93">
        <f>H154+H178+H183</f>
        <v>8358.7999999999993</v>
      </c>
      <c r="I153" s="102"/>
    </row>
    <row r="154" spans="1:56" ht="47.25" customHeight="1" x14ac:dyDescent="0.3">
      <c r="A154" s="124" t="s">
        <v>38</v>
      </c>
      <c r="B154" s="122">
        <v>905</v>
      </c>
      <c r="C154" s="91" t="s">
        <v>124</v>
      </c>
      <c r="D154" s="105" t="s">
        <v>118</v>
      </c>
      <c r="E154" s="123" t="s">
        <v>406</v>
      </c>
      <c r="F154" s="91" t="s">
        <v>51</v>
      </c>
      <c r="G154" s="74">
        <f>G155</f>
        <v>8358.7999999999993</v>
      </c>
      <c r="H154" s="74">
        <f>H155</f>
        <v>8358.7999999999993</v>
      </c>
      <c r="I154" s="102"/>
    </row>
    <row r="155" spans="1:56" ht="56.25" x14ac:dyDescent="0.3">
      <c r="A155" s="124" t="s">
        <v>139</v>
      </c>
      <c r="B155" s="122">
        <v>905</v>
      </c>
      <c r="C155" s="91" t="s">
        <v>124</v>
      </c>
      <c r="D155" s="105" t="s">
        <v>118</v>
      </c>
      <c r="E155" s="123" t="s">
        <v>52</v>
      </c>
      <c r="F155" s="91" t="s">
        <v>51</v>
      </c>
      <c r="G155" s="74">
        <f>G156+G172</f>
        <v>8358.7999999999993</v>
      </c>
      <c r="H155" s="74">
        <f>H156+H172</f>
        <v>8358.7999999999993</v>
      </c>
      <c r="I155" s="102"/>
    </row>
    <row r="156" spans="1:56" ht="37.5" x14ac:dyDescent="0.3">
      <c r="A156" s="124" t="s">
        <v>53</v>
      </c>
      <c r="B156" s="122">
        <v>905</v>
      </c>
      <c r="C156" s="91" t="s">
        <v>124</v>
      </c>
      <c r="D156" s="105" t="s">
        <v>118</v>
      </c>
      <c r="E156" s="123" t="s">
        <v>54</v>
      </c>
      <c r="F156" s="91" t="s">
        <v>51</v>
      </c>
      <c r="G156" s="74">
        <f>G157+G161+G163+G167+G170</f>
        <v>8358.7999999999993</v>
      </c>
      <c r="H156" s="74">
        <f>H157+H161+H163+H167+H170</f>
        <v>8358.7999999999993</v>
      </c>
      <c r="I156" s="102"/>
    </row>
    <row r="157" spans="1:56" hidden="1" x14ac:dyDescent="0.3">
      <c r="A157" s="124" t="s">
        <v>75</v>
      </c>
      <c r="B157" s="122">
        <v>905</v>
      </c>
      <c r="C157" s="91" t="s">
        <v>124</v>
      </c>
      <c r="D157" s="105" t="s">
        <v>118</v>
      </c>
      <c r="E157" s="123" t="s">
        <v>43</v>
      </c>
      <c r="F157" s="91" t="s">
        <v>51</v>
      </c>
      <c r="G157" s="74">
        <f>G158+G159+G160</f>
        <v>0</v>
      </c>
      <c r="H157" s="74">
        <f>H158+H159+H160</f>
        <v>0</v>
      </c>
      <c r="I157" s="102"/>
    </row>
    <row r="158" spans="1:56" ht="93.75" hidden="1" x14ac:dyDescent="0.3">
      <c r="A158" s="124" t="s">
        <v>57</v>
      </c>
      <c r="B158" s="122">
        <v>905</v>
      </c>
      <c r="C158" s="91" t="s">
        <v>124</v>
      </c>
      <c r="D158" s="105" t="s">
        <v>118</v>
      </c>
      <c r="E158" s="123" t="s">
        <v>43</v>
      </c>
      <c r="F158" s="123" t="s">
        <v>58</v>
      </c>
      <c r="G158" s="74">
        <v>0</v>
      </c>
      <c r="H158" s="74">
        <v>0</v>
      </c>
      <c r="I158" s="102"/>
      <c r="J158" s="100">
        <v>-5128.5</v>
      </c>
    </row>
    <row r="159" spans="1:56" ht="37.5" hidden="1" x14ac:dyDescent="0.3">
      <c r="A159" s="124" t="s">
        <v>433</v>
      </c>
      <c r="B159" s="122">
        <v>905</v>
      </c>
      <c r="C159" s="91" t="s">
        <v>124</v>
      </c>
      <c r="D159" s="105" t="s">
        <v>118</v>
      </c>
      <c r="E159" s="123" t="s">
        <v>43</v>
      </c>
      <c r="F159" s="123" t="s">
        <v>60</v>
      </c>
      <c r="G159" s="74">
        <v>0</v>
      </c>
      <c r="H159" s="74">
        <v>0</v>
      </c>
      <c r="I159" s="102"/>
      <c r="J159" s="100">
        <v>-896.4</v>
      </c>
    </row>
    <row r="160" spans="1:56" hidden="1" x14ac:dyDescent="0.3">
      <c r="A160" s="124" t="s">
        <v>61</v>
      </c>
      <c r="B160" s="122">
        <v>905</v>
      </c>
      <c r="C160" s="91" t="s">
        <v>124</v>
      </c>
      <c r="D160" s="105" t="s">
        <v>118</v>
      </c>
      <c r="E160" s="123" t="s">
        <v>43</v>
      </c>
      <c r="F160" s="123" t="s">
        <v>62</v>
      </c>
      <c r="G160" s="74">
        <v>0</v>
      </c>
      <c r="H160" s="74">
        <v>0</v>
      </c>
      <c r="I160" s="102"/>
      <c r="J160" s="100">
        <v>-77.3</v>
      </c>
    </row>
    <row r="161" spans="1:54" ht="37.5" hidden="1" x14ac:dyDescent="0.3">
      <c r="A161" s="125" t="s">
        <v>377</v>
      </c>
      <c r="B161" s="122">
        <v>905</v>
      </c>
      <c r="C161" s="91" t="s">
        <v>124</v>
      </c>
      <c r="D161" s="105" t="s">
        <v>118</v>
      </c>
      <c r="E161" s="123" t="s">
        <v>514</v>
      </c>
      <c r="F161" s="123" t="s">
        <v>51</v>
      </c>
      <c r="G161" s="74">
        <v>0</v>
      </c>
      <c r="H161" s="74">
        <v>0</v>
      </c>
      <c r="I161" s="102"/>
    </row>
    <row r="162" spans="1:54" ht="93.75" hidden="1" x14ac:dyDescent="0.3">
      <c r="A162" s="124" t="s">
        <v>57</v>
      </c>
      <c r="B162" s="122">
        <v>905</v>
      </c>
      <c r="C162" s="91" t="s">
        <v>124</v>
      </c>
      <c r="D162" s="105" t="s">
        <v>118</v>
      </c>
      <c r="E162" s="123" t="s">
        <v>514</v>
      </c>
      <c r="F162" s="123" t="s">
        <v>58</v>
      </c>
      <c r="G162" s="74">
        <v>0</v>
      </c>
      <c r="H162" s="74">
        <v>0</v>
      </c>
      <c r="I162" s="102"/>
    </row>
    <row r="163" spans="1:54" x14ac:dyDescent="0.3">
      <c r="A163" s="124" t="s">
        <v>555</v>
      </c>
      <c r="B163" s="122">
        <v>905</v>
      </c>
      <c r="C163" s="91" t="s">
        <v>124</v>
      </c>
      <c r="D163" s="105" t="s">
        <v>118</v>
      </c>
      <c r="E163" s="123" t="s">
        <v>614</v>
      </c>
      <c r="F163" s="123" t="s">
        <v>51</v>
      </c>
      <c r="G163" s="74">
        <f>G164+G165+G166</f>
        <v>8358.7999999999993</v>
      </c>
      <c r="H163" s="74">
        <f>H164+H165+H166</f>
        <v>8358.7999999999993</v>
      </c>
      <c r="I163" s="102"/>
    </row>
    <row r="164" spans="1:54" ht="93.75" x14ac:dyDescent="0.3">
      <c r="A164" s="124" t="s">
        <v>57</v>
      </c>
      <c r="B164" s="122">
        <v>905</v>
      </c>
      <c r="C164" s="91" t="s">
        <v>124</v>
      </c>
      <c r="D164" s="105" t="s">
        <v>118</v>
      </c>
      <c r="E164" s="123" t="s">
        <v>614</v>
      </c>
      <c r="F164" s="123" t="s">
        <v>58</v>
      </c>
      <c r="G164" s="74">
        <v>7116.3</v>
      </c>
      <c r="H164" s="74">
        <v>7116.3</v>
      </c>
      <c r="I164" s="102"/>
      <c r="J164" s="100">
        <v>5128.5</v>
      </c>
      <c r="AB164" s="100">
        <v>-600</v>
      </c>
      <c r="AF164" s="103">
        <v>1192.1981800000001</v>
      </c>
      <c r="AI164" s="100">
        <v>5297.8</v>
      </c>
      <c r="AL164" s="102">
        <v>5297.8</v>
      </c>
      <c r="AM164" s="102">
        <v>5297.8</v>
      </c>
      <c r="AR164" s="101">
        <v>5879.7</v>
      </c>
      <c r="AT164" s="101">
        <v>5879.7</v>
      </c>
      <c r="BA164" s="227">
        <v>6312.8</v>
      </c>
      <c r="BB164" s="223">
        <v>6312.8</v>
      </c>
    </row>
    <row r="165" spans="1:54" ht="37.5" x14ac:dyDescent="0.3">
      <c r="A165" s="124" t="s">
        <v>433</v>
      </c>
      <c r="B165" s="122">
        <v>905</v>
      </c>
      <c r="C165" s="91" t="s">
        <v>124</v>
      </c>
      <c r="D165" s="105" t="s">
        <v>118</v>
      </c>
      <c r="E165" s="123" t="s">
        <v>614</v>
      </c>
      <c r="F165" s="123" t="s">
        <v>60</v>
      </c>
      <c r="G165" s="74">
        <f>198+973.7</f>
        <v>1171.7</v>
      </c>
      <c r="H165" s="74">
        <v>1171.7</v>
      </c>
      <c r="I165" s="102"/>
      <c r="J165" s="100">
        <v>896.4</v>
      </c>
      <c r="K165" s="100">
        <v>15.8</v>
      </c>
      <c r="R165" s="100">
        <v>30</v>
      </c>
      <c r="U165" s="100">
        <v>5</v>
      </c>
      <c r="AA165" s="100">
        <v>25</v>
      </c>
      <c r="AF165" s="100">
        <f>51+20.4</f>
        <v>71.400000000000006</v>
      </c>
      <c r="AI165" s="100">
        <v>980.8</v>
      </c>
      <c r="AL165" s="102">
        <v>807.9</v>
      </c>
      <c r="AM165" s="102">
        <v>807.9</v>
      </c>
      <c r="AR165" s="101">
        <f>852.4+50</f>
        <v>902.4</v>
      </c>
      <c r="AT165" s="101">
        <v>852.4</v>
      </c>
      <c r="BA165" s="227">
        <v>1026.4000000000001</v>
      </c>
      <c r="BB165" s="223">
        <v>1026.4000000000001</v>
      </c>
    </row>
    <row r="166" spans="1:54" x14ac:dyDescent="0.3">
      <c r="A166" s="124" t="s">
        <v>61</v>
      </c>
      <c r="B166" s="122">
        <v>905</v>
      </c>
      <c r="C166" s="91" t="s">
        <v>124</v>
      </c>
      <c r="D166" s="105" t="s">
        <v>118</v>
      </c>
      <c r="E166" s="123" t="s">
        <v>614</v>
      </c>
      <c r="F166" s="123" t="s">
        <v>62</v>
      </c>
      <c r="G166" s="74">
        <v>70.8</v>
      </c>
      <c r="H166" s="74">
        <v>70.8</v>
      </c>
      <c r="I166" s="102"/>
      <c r="J166" s="100">
        <v>77.3</v>
      </c>
      <c r="AC166" s="100">
        <v>-0.309</v>
      </c>
      <c r="AG166" s="100">
        <v>2.12</v>
      </c>
      <c r="AI166" s="100">
        <v>0</v>
      </c>
      <c r="AR166" s="101">
        <v>74.099999999999994</v>
      </c>
      <c r="AT166" s="101">
        <f>74.1+100</f>
        <v>174.1</v>
      </c>
      <c r="BA166" s="227">
        <v>72.400000000000006</v>
      </c>
      <c r="BB166" s="223">
        <v>72.400000000000006</v>
      </c>
    </row>
    <row r="167" spans="1:54" ht="37.5" hidden="1" x14ac:dyDescent="0.3">
      <c r="A167" s="125" t="s">
        <v>377</v>
      </c>
      <c r="B167" s="122">
        <v>905</v>
      </c>
      <c r="C167" s="91" t="s">
        <v>124</v>
      </c>
      <c r="D167" s="105" t="s">
        <v>118</v>
      </c>
      <c r="E167" s="123" t="s">
        <v>684</v>
      </c>
      <c r="F167" s="123" t="s">
        <v>51</v>
      </c>
      <c r="G167" s="74">
        <f>G168+G169</f>
        <v>0</v>
      </c>
      <c r="H167" s="74">
        <f>H168+H169</f>
        <v>0</v>
      </c>
      <c r="I167" s="102"/>
    </row>
    <row r="168" spans="1:54" ht="93.75" hidden="1" x14ac:dyDescent="0.3">
      <c r="A168" s="124" t="s">
        <v>57</v>
      </c>
      <c r="B168" s="122">
        <v>905</v>
      </c>
      <c r="C168" s="91" t="s">
        <v>124</v>
      </c>
      <c r="D168" s="105" t="s">
        <v>118</v>
      </c>
      <c r="E168" s="123" t="s">
        <v>684</v>
      </c>
      <c r="F168" s="123" t="s">
        <v>58</v>
      </c>
      <c r="G168" s="74">
        <v>0</v>
      </c>
      <c r="H168" s="74">
        <v>0</v>
      </c>
      <c r="I168" s="102"/>
      <c r="AI168" s="100">
        <v>0</v>
      </c>
    </row>
    <row r="169" spans="1:54" hidden="1" x14ac:dyDescent="0.3">
      <c r="A169" s="124" t="s">
        <v>61</v>
      </c>
      <c r="B169" s="122">
        <v>905</v>
      </c>
      <c r="C169" s="91" t="s">
        <v>124</v>
      </c>
      <c r="D169" s="105" t="s">
        <v>118</v>
      </c>
      <c r="E169" s="123" t="s">
        <v>684</v>
      </c>
      <c r="F169" s="123" t="s">
        <v>62</v>
      </c>
      <c r="G169" s="74">
        <v>0</v>
      </c>
      <c r="H169" s="74">
        <v>0</v>
      </c>
      <c r="I169" s="102"/>
      <c r="AI169" s="100">
        <v>75.7</v>
      </c>
      <c r="AL169" s="102">
        <v>75.7</v>
      </c>
      <c r="AM169" s="102">
        <v>75.7</v>
      </c>
    </row>
    <row r="170" spans="1:54" ht="56.25" hidden="1" x14ac:dyDescent="0.3">
      <c r="A170" s="125" t="s">
        <v>381</v>
      </c>
      <c r="B170" s="122">
        <v>905</v>
      </c>
      <c r="C170" s="91" t="s">
        <v>124</v>
      </c>
      <c r="D170" s="105" t="s">
        <v>118</v>
      </c>
      <c r="E170" s="123" t="s">
        <v>698</v>
      </c>
      <c r="F170" s="123" t="s">
        <v>51</v>
      </c>
      <c r="G170" s="74">
        <f>G171</f>
        <v>0</v>
      </c>
      <c r="H170" s="74">
        <f>H171</f>
        <v>0</v>
      </c>
      <c r="I170" s="102"/>
    </row>
    <row r="171" spans="1:54" ht="93.75" hidden="1" x14ac:dyDescent="0.3">
      <c r="A171" s="124" t="s">
        <v>57</v>
      </c>
      <c r="B171" s="122">
        <v>905</v>
      </c>
      <c r="C171" s="91" t="s">
        <v>124</v>
      </c>
      <c r="D171" s="105" t="s">
        <v>118</v>
      </c>
      <c r="E171" s="123" t="s">
        <v>698</v>
      </c>
      <c r="F171" s="123" t="s">
        <v>58</v>
      </c>
      <c r="G171" s="74">
        <v>0</v>
      </c>
      <c r="H171" s="74">
        <v>0</v>
      </c>
      <c r="I171" s="102"/>
      <c r="AI171" s="100">
        <v>0</v>
      </c>
    </row>
    <row r="172" spans="1:54" x14ac:dyDescent="0.3">
      <c r="A172" s="124" t="s">
        <v>63</v>
      </c>
      <c r="B172" s="122">
        <v>905</v>
      </c>
      <c r="C172" s="91" t="s">
        <v>124</v>
      </c>
      <c r="D172" s="105" t="s">
        <v>118</v>
      </c>
      <c r="E172" s="123" t="s">
        <v>64</v>
      </c>
      <c r="F172" s="123" t="s">
        <v>51</v>
      </c>
      <c r="G172" s="74">
        <f>G176+G173</f>
        <v>0</v>
      </c>
      <c r="H172" s="74">
        <f>H176+H173</f>
        <v>0</v>
      </c>
      <c r="I172" s="102"/>
    </row>
    <row r="173" spans="1:54" ht="31.5" hidden="1" customHeight="1" outlineLevel="1" x14ac:dyDescent="0.3">
      <c r="A173" s="124" t="s">
        <v>76</v>
      </c>
      <c r="B173" s="122">
        <v>905</v>
      </c>
      <c r="C173" s="91" t="s">
        <v>124</v>
      </c>
      <c r="D173" s="105" t="s">
        <v>118</v>
      </c>
      <c r="E173" s="91" t="s">
        <v>40</v>
      </c>
      <c r="F173" s="123" t="s">
        <v>51</v>
      </c>
      <c r="G173" s="74">
        <f>G174+G175</f>
        <v>0</v>
      </c>
      <c r="H173" s="74">
        <f>H174+H175</f>
        <v>0</v>
      </c>
      <c r="I173" s="102"/>
    </row>
    <row r="174" spans="1:54" ht="99" hidden="1" customHeight="1" outlineLevel="1" x14ac:dyDescent="0.3">
      <c r="A174" s="124" t="s">
        <v>57</v>
      </c>
      <c r="B174" s="122">
        <v>905</v>
      </c>
      <c r="C174" s="91" t="s">
        <v>124</v>
      </c>
      <c r="D174" s="105" t="s">
        <v>118</v>
      </c>
      <c r="E174" s="91" t="s">
        <v>40</v>
      </c>
      <c r="F174" s="123" t="s">
        <v>58</v>
      </c>
      <c r="G174" s="74"/>
      <c r="H174" s="74"/>
      <c r="I174" s="102"/>
    </row>
    <row r="175" spans="1:54" ht="37.5" hidden="1" outlineLevel="1" x14ac:dyDescent="0.3">
      <c r="A175" s="124" t="s">
        <v>433</v>
      </c>
      <c r="B175" s="122">
        <v>905</v>
      </c>
      <c r="C175" s="91" t="s">
        <v>124</v>
      </c>
      <c r="D175" s="105" t="s">
        <v>118</v>
      </c>
      <c r="E175" s="91" t="s">
        <v>40</v>
      </c>
      <c r="F175" s="123" t="s">
        <v>60</v>
      </c>
      <c r="G175" s="74"/>
      <c r="H175" s="74"/>
      <c r="I175" s="102"/>
    </row>
    <row r="176" spans="1:54" ht="56.25" collapsed="1" x14ac:dyDescent="0.3">
      <c r="A176" s="124" t="s">
        <v>498</v>
      </c>
      <c r="B176" s="122">
        <v>905</v>
      </c>
      <c r="C176" s="91" t="s">
        <v>124</v>
      </c>
      <c r="D176" s="105" t="s">
        <v>118</v>
      </c>
      <c r="E176" s="123" t="s">
        <v>499</v>
      </c>
      <c r="F176" s="123" t="s">
        <v>51</v>
      </c>
      <c r="G176" s="74">
        <f>G177</f>
        <v>0</v>
      </c>
      <c r="H176" s="74">
        <f>H177</f>
        <v>0</v>
      </c>
      <c r="I176" s="102"/>
    </row>
    <row r="177" spans="1:54" ht="44.25" customHeight="1" x14ac:dyDescent="0.3">
      <c r="A177" s="124" t="s">
        <v>267</v>
      </c>
      <c r="B177" s="122">
        <v>905</v>
      </c>
      <c r="C177" s="91" t="s">
        <v>124</v>
      </c>
      <c r="D177" s="105" t="s">
        <v>118</v>
      </c>
      <c r="E177" s="123" t="s">
        <v>499</v>
      </c>
      <c r="F177" s="123" t="s">
        <v>264</v>
      </c>
      <c r="G177" s="74">
        <v>0</v>
      </c>
      <c r="H177" s="74">
        <v>0</v>
      </c>
      <c r="I177" s="102"/>
      <c r="AI177" s="100">
        <v>1146.7</v>
      </c>
      <c r="AL177" s="102">
        <v>1146.7</v>
      </c>
      <c r="AM177" s="102">
        <v>1146.7</v>
      </c>
      <c r="AR177" s="101">
        <v>1821.8</v>
      </c>
      <c r="AT177" s="101">
        <v>1821.8</v>
      </c>
      <c r="BA177" s="227">
        <v>1821.8</v>
      </c>
      <c r="BB177" s="223">
        <v>1821.8</v>
      </c>
    </row>
    <row r="178" spans="1:54" ht="40.5" hidden="1" customHeight="1" x14ac:dyDescent="0.3">
      <c r="A178" s="121" t="s">
        <v>162</v>
      </c>
      <c r="B178" s="122">
        <v>905</v>
      </c>
      <c r="C178" s="91" t="s">
        <v>124</v>
      </c>
      <c r="D178" s="91" t="s">
        <v>118</v>
      </c>
      <c r="E178" s="123" t="s">
        <v>100</v>
      </c>
      <c r="F178" s="91" t="s">
        <v>51</v>
      </c>
      <c r="G178" s="74">
        <f t="shared" ref="G178:H181" si="7">G179</f>
        <v>0</v>
      </c>
      <c r="H178" s="74">
        <f t="shared" si="7"/>
        <v>0</v>
      </c>
      <c r="I178" s="102"/>
    </row>
    <row r="179" spans="1:54" ht="56.25" hidden="1" x14ac:dyDescent="0.3">
      <c r="A179" s="121" t="s">
        <v>11</v>
      </c>
      <c r="B179" s="122">
        <v>905</v>
      </c>
      <c r="C179" s="91" t="s">
        <v>124</v>
      </c>
      <c r="D179" s="91" t="s">
        <v>118</v>
      </c>
      <c r="E179" s="123" t="s">
        <v>29</v>
      </c>
      <c r="F179" s="91" t="s">
        <v>51</v>
      </c>
      <c r="G179" s="74">
        <f t="shared" si="7"/>
        <v>0</v>
      </c>
      <c r="H179" s="74">
        <f t="shared" si="7"/>
        <v>0</v>
      </c>
      <c r="I179" s="102"/>
    </row>
    <row r="180" spans="1:54" ht="75" hidden="1" x14ac:dyDescent="0.3">
      <c r="A180" s="121" t="s">
        <v>252</v>
      </c>
      <c r="B180" s="122">
        <v>905</v>
      </c>
      <c r="C180" s="91" t="s">
        <v>124</v>
      </c>
      <c r="D180" s="91" t="s">
        <v>118</v>
      </c>
      <c r="E180" s="123" t="s">
        <v>257</v>
      </c>
      <c r="F180" s="91" t="s">
        <v>51</v>
      </c>
      <c r="G180" s="74">
        <f t="shared" si="7"/>
        <v>0</v>
      </c>
      <c r="H180" s="74">
        <f t="shared" si="7"/>
        <v>0</v>
      </c>
      <c r="I180" s="102"/>
    </row>
    <row r="181" spans="1:54" ht="56.25" hidden="1" x14ac:dyDescent="0.3">
      <c r="A181" s="124" t="s">
        <v>256</v>
      </c>
      <c r="B181" s="122">
        <v>905</v>
      </c>
      <c r="C181" s="91" t="s">
        <v>124</v>
      </c>
      <c r="D181" s="91" t="s">
        <v>118</v>
      </c>
      <c r="E181" s="91" t="s">
        <v>258</v>
      </c>
      <c r="F181" s="91" t="s">
        <v>51</v>
      </c>
      <c r="G181" s="74">
        <f t="shared" si="7"/>
        <v>0</v>
      </c>
      <c r="H181" s="74">
        <f t="shared" si="7"/>
        <v>0</v>
      </c>
      <c r="I181" s="102"/>
    </row>
    <row r="182" spans="1:54" ht="37.5" hidden="1" x14ac:dyDescent="0.3">
      <c r="A182" s="124" t="s">
        <v>433</v>
      </c>
      <c r="B182" s="122">
        <v>905</v>
      </c>
      <c r="C182" s="91" t="s">
        <v>124</v>
      </c>
      <c r="D182" s="91" t="s">
        <v>118</v>
      </c>
      <c r="E182" s="91" t="s">
        <v>258</v>
      </c>
      <c r="F182" s="91" t="s">
        <v>60</v>
      </c>
      <c r="G182" s="74">
        <v>0</v>
      </c>
      <c r="H182" s="74">
        <v>0</v>
      </c>
      <c r="I182" s="102"/>
    </row>
    <row r="183" spans="1:54" ht="48.75" hidden="1" customHeight="1" x14ac:dyDescent="0.3">
      <c r="A183" s="121" t="s">
        <v>162</v>
      </c>
      <c r="B183" s="122">
        <v>905</v>
      </c>
      <c r="C183" s="91" t="s">
        <v>124</v>
      </c>
      <c r="D183" s="105" t="s">
        <v>118</v>
      </c>
      <c r="E183" s="91" t="s">
        <v>100</v>
      </c>
      <c r="F183" s="91" t="s">
        <v>51</v>
      </c>
      <c r="G183" s="74">
        <f>G184</f>
        <v>0</v>
      </c>
      <c r="H183" s="74">
        <f>H184</f>
        <v>0</v>
      </c>
      <c r="I183" s="102"/>
    </row>
    <row r="184" spans="1:54" ht="56.25" hidden="1" x14ac:dyDescent="0.3">
      <c r="A184" s="124" t="s">
        <v>466</v>
      </c>
      <c r="B184" s="122">
        <v>905</v>
      </c>
      <c r="C184" s="91" t="s">
        <v>124</v>
      </c>
      <c r="D184" s="105" t="s">
        <v>118</v>
      </c>
      <c r="E184" s="91" t="s">
        <v>29</v>
      </c>
      <c r="F184" s="91" t="s">
        <v>51</v>
      </c>
      <c r="G184" s="74">
        <f>G186+G192+G197</f>
        <v>0</v>
      </c>
      <c r="H184" s="74">
        <f>H186+H192+H197</f>
        <v>0</v>
      </c>
      <c r="I184" s="102"/>
    </row>
    <row r="185" spans="1:54" ht="75" hidden="1" x14ac:dyDescent="0.3">
      <c r="A185" s="124" t="s">
        <v>252</v>
      </c>
      <c r="B185" s="122">
        <v>905</v>
      </c>
      <c r="C185" s="91" t="s">
        <v>124</v>
      </c>
      <c r="D185" s="105" t="s">
        <v>118</v>
      </c>
      <c r="E185" s="91" t="s">
        <v>257</v>
      </c>
      <c r="F185" s="91" t="s">
        <v>51</v>
      </c>
      <c r="G185" s="74">
        <f>G186</f>
        <v>0</v>
      </c>
      <c r="H185" s="74">
        <f>H186</f>
        <v>0</v>
      </c>
      <c r="I185" s="102"/>
      <c r="AL185" s="100"/>
      <c r="AM185" s="100"/>
    </row>
    <row r="186" spans="1:54" ht="56.25" hidden="1" x14ac:dyDescent="0.3">
      <c r="A186" s="124" t="s">
        <v>256</v>
      </c>
      <c r="B186" s="122">
        <v>905</v>
      </c>
      <c r="C186" s="91" t="s">
        <v>124</v>
      </c>
      <c r="D186" s="105" t="s">
        <v>118</v>
      </c>
      <c r="E186" s="91" t="s">
        <v>258</v>
      </c>
      <c r="F186" s="91" t="s">
        <v>51</v>
      </c>
      <c r="G186" s="74">
        <f>G188+G190</f>
        <v>0</v>
      </c>
      <c r="H186" s="74">
        <f>H188+H190</f>
        <v>0</v>
      </c>
      <c r="I186" s="102"/>
      <c r="AL186" s="100"/>
      <c r="AM186" s="100"/>
    </row>
    <row r="187" spans="1:54" ht="168.75" hidden="1" x14ac:dyDescent="0.3">
      <c r="A187" s="124" t="s">
        <v>556</v>
      </c>
      <c r="B187" s="122">
        <v>905</v>
      </c>
      <c r="C187" s="91" t="s">
        <v>124</v>
      </c>
      <c r="D187" s="105" t="s">
        <v>118</v>
      </c>
      <c r="E187" s="91" t="s">
        <v>560</v>
      </c>
      <c r="F187" s="91" t="s">
        <v>51</v>
      </c>
      <c r="G187" s="74">
        <f>G188</f>
        <v>0</v>
      </c>
      <c r="H187" s="74">
        <f>H188</f>
        <v>0</v>
      </c>
      <c r="I187" s="102"/>
      <c r="AL187" s="100"/>
      <c r="AM187" s="100"/>
    </row>
    <row r="188" spans="1:54" ht="45" hidden="1" customHeight="1" x14ac:dyDescent="0.3">
      <c r="A188" s="124" t="s">
        <v>433</v>
      </c>
      <c r="B188" s="122">
        <v>905</v>
      </c>
      <c r="C188" s="91" t="s">
        <v>124</v>
      </c>
      <c r="D188" s="105" t="s">
        <v>118</v>
      </c>
      <c r="E188" s="91" t="s">
        <v>560</v>
      </c>
      <c r="F188" s="91" t="s">
        <v>60</v>
      </c>
      <c r="G188" s="74">
        <v>0</v>
      </c>
      <c r="H188" s="74">
        <v>0</v>
      </c>
      <c r="I188" s="102">
        <v>580</v>
      </c>
      <c r="AI188" s="100">
        <v>0</v>
      </c>
      <c r="AL188" s="100"/>
      <c r="AM188" s="100"/>
    </row>
    <row r="189" spans="1:54" ht="90" hidden="1" customHeight="1" x14ac:dyDescent="0.3">
      <c r="A189" s="124" t="s">
        <v>557</v>
      </c>
      <c r="B189" s="122">
        <v>905</v>
      </c>
      <c r="C189" s="91" t="s">
        <v>124</v>
      </c>
      <c r="D189" s="105" t="s">
        <v>118</v>
      </c>
      <c r="E189" s="91" t="s">
        <v>642</v>
      </c>
      <c r="F189" s="91" t="s">
        <v>51</v>
      </c>
      <c r="G189" s="74">
        <f>G190</f>
        <v>0</v>
      </c>
      <c r="H189" s="74">
        <f>H190</f>
        <v>0</v>
      </c>
      <c r="I189" s="102"/>
      <c r="AL189" s="100"/>
      <c r="AM189" s="100"/>
    </row>
    <row r="190" spans="1:54" ht="37.5" hidden="1" x14ac:dyDescent="0.3">
      <c r="A190" s="124" t="s">
        <v>433</v>
      </c>
      <c r="B190" s="122">
        <v>905</v>
      </c>
      <c r="C190" s="91" t="s">
        <v>124</v>
      </c>
      <c r="D190" s="105" t="s">
        <v>118</v>
      </c>
      <c r="E190" s="91" t="s">
        <v>642</v>
      </c>
      <c r="F190" s="91" t="s">
        <v>60</v>
      </c>
      <c r="G190" s="74">
        <v>0</v>
      </c>
      <c r="H190" s="74">
        <v>0</v>
      </c>
      <c r="I190" s="102">
        <v>630</v>
      </c>
      <c r="AI190" s="100">
        <v>0</v>
      </c>
      <c r="AL190" s="100"/>
      <c r="AM190" s="100"/>
    </row>
    <row r="191" spans="1:54" hidden="1" x14ac:dyDescent="0.3">
      <c r="A191" s="124" t="s">
        <v>63</v>
      </c>
      <c r="B191" s="122">
        <v>905</v>
      </c>
      <c r="C191" s="91" t="s">
        <v>124</v>
      </c>
      <c r="D191" s="105" t="s">
        <v>118</v>
      </c>
      <c r="E191" s="91" t="s">
        <v>254</v>
      </c>
      <c r="F191" s="91" t="s">
        <v>51</v>
      </c>
      <c r="G191" s="74">
        <f>G192</f>
        <v>0</v>
      </c>
      <c r="H191" s="74">
        <f>H192</f>
        <v>0</v>
      </c>
      <c r="I191" s="102"/>
      <c r="AL191" s="100"/>
      <c r="AM191" s="100"/>
    </row>
    <row r="192" spans="1:54" ht="27.75" hidden="1" customHeight="1" x14ac:dyDescent="0.3">
      <c r="A192" s="130" t="s">
        <v>65</v>
      </c>
      <c r="B192" s="122">
        <v>905</v>
      </c>
      <c r="C192" s="91" t="s">
        <v>124</v>
      </c>
      <c r="D192" s="105" t="s">
        <v>118</v>
      </c>
      <c r="E192" s="91" t="s">
        <v>255</v>
      </c>
      <c r="F192" s="91" t="s">
        <v>51</v>
      </c>
      <c r="G192" s="74">
        <f>G194+G195</f>
        <v>0</v>
      </c>
      <c r="H192" s="74">
        <f>H194+H195</f>
        <v>0</v>
      </c>
      <c r="I192" s="102"/>
      <c r="AL192" s="100"/>
      <c r="AM192" s="100"/>
    </row>
    <row r="193" spans="1:39" ht="129" hidden="1" customHeight="1" x14ac:dyDescent="0.3">
      <c r="A193" s="124" t="s">
        <v>558</v>
      </c>
      <c r="B193" s="122">
        <v>905</v>
      </c>
      <c r="C193" s="91" t="s">
        <v>124</v>
      </c>
      <c r="D193" s="105" t="s">
        <v>118</v>
      </c>
      <c r="E193" s="91" t="s">
        <v>657</v>
      </c>
      <c r="F193" s="91" t="s">
        <v>51</v>
      </c>
      <c r="G193" s="74">
        <f>G194</f>
        <v>0</v>
      </c>
      <c r="H193" s="74">
        <f>H194</f>
        <v>0</v>
      </c>
      <c r="I193" s="102"/>
      <c r="AL193" s="100"/>
      <c r="AM193" s="100"/>
    </row>
    <row r="194" spans="1:39" ht="37.5" hidden="1" x14ac:dyDescent="0.3">
      <c r="A194" s="124" t="s">
        <v>433</v>
      </c>
      <c r="B194" s="122">
        <v>905</v>
      </c>
      <c r="C194" s="91" t="s">
        <v>124</v>
      </c>
      <c r="D194" s="105" t="s">
        <v>118</v>
      </c>
      <c r="E194" s="91" t="s">
        <v>657</v>
      </c>
      <c r="F194" s="91" t="s">
        <v>60</v>
      </c>
      <c r="G194" s="74">
        <v>0</v>
      </c>
      <c r="H194" s="74">
        <v>0</v>
      </c>
      <c r="I194" s="102"/>
      <c r="K194" s="100">
        <v>103.5</v>
      </c>
      <c r="AI194" s="100">
        <v>0</v>
      </c>
      <c r="AL194" s="100"/>
      <c r="AM194" s="100"/>
    </row>
    <row r="195" spans="1:39" ht="102.75" hidden="1" customHeight="1" x14ac:dyDescent="0.3">
      <c r="A195" s="124" t="s">
        <v>559</v>
      </c>
      <c r="B195" s="122">
        <v>905</v>
      </c>
      <c r="C195" s="91" t="s">
        <v>124</v>
      </c>
      <c r="D195" s="105" t="s">
        <v>118</v>
      </c>
      <c r="E195" s="91" t="s">
        <v>656</v>
      </c>
      <c r="F195" s="91" t="s">
        <v>51</v>
      </c>
      <c r="G195" s="74">
        <f>G196</f>
        <v>0</v>
      </c>
      <c r="H195" s="74">
        <f>H196</f>
        <v>0</v>
      </c>
      <c r="I195" s="102"/>
      <c r="K195" s="100">
        <v>85</v>
      </c>
      <c r="AL195" s="100"/>
      <c r="AM195" s="100"/>
    </row>
    <row r="196" spans="1:39" ht="60.75" hidden="1" customHeight="1" x14ac:dyDescent="0.3">
      <c r="A196" s="124" t="s">
        <v>433</v>
      </c>
      <c r="B196" s="122">
        <v>905</v>
      </c>
      <c r="C196" s="91" t="s">
        <v>124</v>
      </c>
      <c r="D196" s="105" t="s">
        <v>118</v>
      </c>
      <c r="E196" s="91" t="s">
        <v>656</v>
      </c>
      <c r="F196" s="91" t="s">
        <v>60</v>
      </c>
      <c r="G196" s="74">
        <v>0</v>
      </c>
      <c r="H196" s="74">
        <v>0</v>
      </c>
      <c r="I196" s="102"/>
      <c r="AI196" s="100">
        <v>0</v>
      </c>
      <c r="AL196" s="100"/>
      <c r="AM196" s="100"/>
    </row>
    <row r="197" spans="1:39" ht="56.25" hidden="1" x14ac:dyDescent="0.3">
      <c r="A197" s="124" t="s">
        <v>256</v>
      </c>
      <c r="B197" s="122">
        <v>905</v>
      </c>
      <c r="C197" s="91" t="s">
        <v>124</v>
      </c>
      <c r="D197" s="105" t="s">
        <v>118</v>
      </c>
      <c r="E197" s="91" t="s">
        <v>259</v>
      </c>
      <c r="F197" s="91" t="s">
        <v>51</v>
      </c>
      <c r="G197" s="74">
        <f>G198</f>
        <v>0</v>
      </c>
      <c r="H197" s="74">
        <f>H198</f>
        <v>0</v>
      </c>
      <c r="I197" s="102"/>
      <c r="AL197" s="100"/>
      <c r="AM197" s="100"/>
    </row>
    <row r="198" spans="1:39" ht="160.5" hidden="1" customHeight="1" x14ac:dyDescent="0.3">
      <c r="A198" s="124" t="s">
        <v>556</v>
      </c>
      <c r="B198" s="122">
        <v>905</v>
      </c>
      <c r="C198" s="91" t="s">
        <v>124</v>
      </c>
      <c r="D198" s="105" t="s">
        <v>118</v>
      </c>
      <c r="E198" s="91" t="s">
        <v>626</v>
      </c>
      <c r="F198" s="91" t="s">
        <v>51</v>
      </c>
      <c r="G198" s="74">
        <f>G199</f>
        <v>0</v>
      </c>
      <c r="H198" s="74">
        <f>H199</f>
        <v>0</v>
      </c>
      <c r="I198" s="102"/>
      <c r="K198" s="100">
        <v>77.222999999999999</v>
      </c>
      <c r="AL198" s="100"/>
      <c r="AM198" s="100"/>
    </row>
    <row r="199" spans="1:39" ht="48" hidden="1" customHeight="1" x14ac:dyDescent="0.3">
      <c r="A199" s="124" t="s">
        <v>433</v>
      </c>
      <c r="B199" s="122">
        <v>905</v>
      </c>
      <c r="C199" s="91" t="s">
        <v>124</v>
      </c>
      <c r="D199" s="105" t="s">
        <v>118</v>
      </c>
      <c r="E199" s="91" t="s">
        <v>626</v>
      </c>
      <c r="F199" s="91" t="s">
        <v>60</v>
      </c>
      <c r="G199" s="74">
        <v>0</v>
      </c>
      <c r="H199" s="74">
        <v>0</v>
      </c>
      <c r="I199" s="102"/>
      <c r="AI199" s="100">
        <v>0</v>
      </c>
      <c r="AL199" s="100"/>
      <c r="AM199" s="100"/>
    </row>
    <row r="200" spans="1:39" ht="80.25" hidden="1" customHeight="1" x14ac:dyDescent="0.3">
      <c r="A200" s="124" t="s">
        <v>557</v>
      </c>
      <c r="B200" s="122">
        <v>905</v>
      </c>
      <c r="C200" s="91" t="s">
        <v>124</v>
      </c>
      <c r="D200" s="105" t="s">
        <v>118</v>
      </c>
      <c r="E200" s="91" t="s">
        <v>627</v>
      </c>
      <c r="F200" s="91" t="s">
        <v>60</v>
      </c>
      <c r="G200" s="74">
        <f>G201</f>
        <v>0</v>
      </c>
      <c r="H200" s="74">
        <f>H201</f>
        <v>0</v>
      </c>
      <c r="I200" s="102"/>
      <c r="K200" s="100">
        <v>80.662000000000006</v>
      </c>
      <c r="AL200" s="100"/>
      <c r="AM200" s="100"/>
    </row>
    <row r="201" spans="1:39" ht="43.5" hidden="1" customHeight="1" x14ac:dyDescent="0.3">
      <c r="A201" s="124" t="s">
        <v>433</v>
      </c>
      <c r="B201" s="122">
        <v>905</v>
      </c>
      <c r="C201" s="91" t="s">
        <v>124</v>
      </c>
      <c r="D201" s="105" t="s">
        <v>118</v>
      </c>
      <c r="E201" s="91" t="s">
        <v>627</v>
      </c>
      <c r="F201" s="91" t="s">
        <v>60</v>
      </c>
      <c r="G201" s="74">
        <v>0</v>
      </c>
      <c r="H201" s="74">
        <v>0</v>
      </c>
      <c r="I201" s="102"/>
      <c r="AI201" s="100">
        <v>0</v>
      </c>
      <c r="AL201" s="100"/>
      <c r="AM201" s="100"/>
    </row>
    <row r="202" spans="1:39" x14ac:dyDescent="0.3">
      <c r="A202" s="119" t="s">
        <v>148</v>
      </c>
      <c r="B202" s="118">
        <v>905</v>
      </c>
      <c r="C202" s="114" t="s">
        <v>124</v>
      </c>
      <c r="D202" s="120" t="s">
        <v>124</v>
      </c>
      <c r="E202" s="118" t="s">
        <v>50</v>
      </c>
      <c r="F202" s="114" t="s">
        <v>51</v>
      </c>
      <c r="G202" s="93">
        <f>G203</f>
        <v>5556.67</v>
      </c>
      <c r="H202" s="93">
        <f>H203</f>
        <v>5556.67</v>
      </c>
      <c r="I202" s="102"/>
      <c r="AL202" s="100"/>
      <c r="AM202" s="100"/>
    </row>
    <row r="203" spans="1:39" ht="45.75" customHeight="1" x14ac:dyDescent="0.3">
      <c r="A203" s="124" t="s">
        <v>38</v>
      </c>
      <c r="B203" s="122">
        <v>905</v>
      </c>
      <c r="C203" s="91" t="s">
        <v>124</v>
      </c>
      <c r="D203" s="91" t="s">
        <v>124</v>
      </c>
      <c r="E203" s="123" t="s">
        <v>25</v>
      </c>
      <c r="F203" s="91" t="s">
        <v>51</v>
      </c>
      <c r="G203" s="74">
        <f>G204+G209+G229+G239</f>
        <v>5556.67</v>
      </c>
      <c r="H203" s="74">
        <f>H204+H209+H229+H239</f>
        <v>5556.67</v>
      </c>
      <c r="I203" s="102"/>
      <c r="AL203" s="100"/>
      <c r="AM203" s="100"/>
    </row>
    <row r="204" spans="1:39" ht="56.25" hidden="1" x14ac:dyDescent="0.3">
      <c r="A204" s="124" t="s">
        <v>139</v>
      </c>
      <c r="B204" s="122">
        <v>905</v>
      </c>
      <c r="C204" s="91" t="s">
        <v>124</v>
      </c>
      <c r="D204" s="91" t="s">
        <v>124</v>
      </c>
      <c r="E204" s="123" t="s">
        <v>52</v>
      </c>
      <c r="F204" s="91" t="s">
        <v>51</v>
      </c>
      <c r="G204" s="74">
        <f>G205</f>
        <v>0</v>
      </c>
      <c r="H204" s="74">
        <f>H205</f>
        <v>0</v>
      </c>
      <c r="I204" s="102"/>
      <c r="AL204" s="100"/>
      <c r="AM204" s="100"/>
    </row>
    <row r="205" spans="1:39" hidden="1" x14ac:dyDescent="0.3">
      <c r="A205" s="124" t="s">
        <v>63</v>
      </c>
      <c r="B205" s="122">
        <v>905</v>
      </c>
      <c r="C205" s="91" t="s">
        <v>124</v>
      </c>
      <c r="D205" s="91" t="s">
        <v>124</v>
      </c>
      <c r="E205" s="123" t="s">
        <v>64</v>
      </c>
      <c r="F205" s="91" t="s">
        <v>51</v>
      </c>
      <c r="G205" s="74">
        <f>G206</f>
        <v>0</v>
      </c>
      <c r="H205" s="74">
        <f>H206</f>
        <v>0</v>
      </c>
      <c r="I205" s="102"/>
      <c r="AL205" s="100"/>
      <c r="AM205" s="100"/>
    </row>
    <row r="206" spans="1:39" ht="27" hidden="1" customHeight="1" x14ac:dyDescent="0.3">
      <c r="A206" s="124" t="s">
        <v>147</v>
      </c>
      <c r="B206" s="122">
        <v>905</v>
      </c>
      <c r="C206" s="91" t="s">
        <v>124</v>
      </c>
      <c r="D206" s="91" t="s">
        <v>124</v>
      </c>
      <c r="E206" s="123" t="s">
        <v>149</v>
      </c>
      <c r="F206" s="91" t="s">
        <v>51</v>
      </c>
      <c r="G206" s="74">
        <f>G207+G208</f>
        <v>0</v>
      </c>
      <c r="H206" s="74">
        <f>H207+H208</f>
        <v>0</v>
      </c>
      <c r="I206" s="102"/>
      <c r="AL206" s="100"/>
      <c r="AM206" s="100"/>
    </row>
    <row r="207" spans="1:39" ht="37.5" hidden="1" x14ac:dyDescent="0.3">
      <c r="A207" s="124" t="s">
        <v>433</v>
      </c>
      <c r="B207" s="122">
        <v>905</v>
      </c>
      <c r="C207" s="91" t="s">
        <v>124</v>
      </c>
      <c r="D207" s="91" t="s">
        <v>124</v>
      </c>
      <c r="E207" s="123" t="s">
        <v>149</v>
      </c>
      <c r="F207" s="123" t="s">
        <v>60</v>
      </c>
      <c r="G207" s="74">
        <v>0</v>
      </c>
      <c r="H207" s="74">
        <v>0</v>
      </c>
      <c r="I207" s="102"/>
      <c r="R207" s="100">
        <v>13.9</v>
      </c>
      <c r="U207" s="100">
        <v>-1</v>
      </c>
      <c r="AI207" s="100">
        <v>0</v>
      </c>
      <c r="AL207" s="100"/>
      <c r="AM207" s="100"/>
    </row>
    <row r="208" spans="1:39" ht="29.25" hidden="1" customHeight="1" x14ac:dyDescent="0.3">
      <c r="A208" s="124" t="s">
        <v>176</v>
      </c>
      <c r="B208" s="122">
        <v>905</v>
      </c>
      <c r="C208" s="91" t="s">
        <v>124</v>
      </c>
      <c r="D208" s="91" t="s">
        <v>124</v>
      </c>
      <c r="E208" s="123" t="s">
        <v>149</v>
      </c>
      <c r="F208" s="123" t="s">
        <v>177</v>
      </c>
      <c r="G208" s="74">
        <v>0</v>
      </c>
      <c r="H208" s="74">
        <v>0</v>
      </c>
      <c r="I208" s="102"/>
      <c r="R208" s="100">
        <v>6</v>
      </c>
      <c r="AI208" s="100">
        <v>0</v>
      </c>
      <c r="AL208" s="100"/>
      <c r="AM208" s="100"/>
    </row>
    <row r="209" spans="1:56" ht="56.25" x14ac:dyDescent="0.3">
      <c r="A209" s="121" t="s">
        <v>141</v>
      </c>
      <c r="B209" s="122">
        <v>905</v>
      </c>
      <c r="C209" s="91" t="s">
        <v>124</v>
      </c>
      <c r="D209" s="91" t="s">
        <v>124</v>
      </c>
      <c r="E209" s="123" t="s">
        <v>78</v>
      </c>
      <c r="F209" s="123" t="s">
        <v>51</v>
      </c>
      <c r="G209" s="74">
        <f>G210+G222+G226</f>
        <v>2367.37</v>
      </c>
      <c r="H209" s="74">
        <f>H210+H222+H226</f>
        <v>2367.37</v>
      </c>
      <c r="I209" s="102"/>
      <c r="AL209" s="100"/>
      <c r="AM209" s="100"/>
    </row>
    <row r="210" spans="1:56" hidden="1" x14ac:dyDescent="0.3">
      <c r="A210" s="124" t="s">
        <v>63</v>
      </c>
      <c r="B210" s="122">
        <v>905</v>
      </c>
      <c r="C210" s="91" t="s">
        <v>124</v>
      </c>
      <c r="D210" s="105" t="s">
        <v>124</v>
      </c>
      <c r="E210" s="91" t="s">
        <v>153</v>
      </c>
      <c r="F210" s="91" t="s">
        <v>51</v>
      </c>
      <c r="G210" s="74">
        <f>G213+G211+G215+G217+G220</f>
        <v>0</v>
      </c>
      <c r="H210" s="74">
        <f>H213+H211+H215+H217+H220</f>
        <v>0</v>
      </c>
      <c r="I210" s="102"/>
      <c r="AL210" s="100"/>
      <c r="AM210" s="100"/>
    </row>
    <row r="211" spans="1:56" hidden="1" x14ac:dyDescent="0.3">
      <c r="A211" s="124" t="s">
        <v>165</v>
      </c>
      <c r="B211" s="122">
        <v>905</v>
      </c>
      <c r="C211" s="91" t="s">
        <v>124</v>
      </c>
      <c r="D211" s="105" t="s">
        <v>124</v>
      </c>
      <c r="E211" s="91" t="s">
        <v>463</v>
      </c>
      <c r="F211" s="91" t="s">
        <v>51</v>
      </c>
      <c r="G211" s="74">
        <f>G212+G219</f>
        <v>0</v>
      </c>
      <c r="H211" s="74">
        <f>H212+H219</f>
        <v>0</v>
      </c>
      <c r="I211" s="102"/>
      <c r="AL211" s="100"/>
      <c r="AM211" s="100"/>
    </row>
    <row r="212" spans="1:56" ht="37.5" hidden="1" x14ac:dyDescent="0.3">
      <c r="A212" s="124" t="s">
        <v>433</v>
      </c>
      <c r="B212" s="122">
        <v>905</v>
      </c>
      <c r="C212" s="91" t="s">
        <v>124</v>
      </c>
      <c r="D212" s="105" t="s">
        <v>124</v>
      </c>
      <c r="E212" s="91" t="s">
        <v>463</v>
      </c>
      <c r="F212" s="91" t="s">
        <v>60</v>
      </c>
      <c r="G212" s="74">
        <v>0</v>
      </c>
      <c r="H212" s="74">
        <v>0</v>
      </c>
      <c r="I212" s="102"/>
      <c r="S212" s="100">
        <v>0.53</v>
      </c>
      <c r="AI212" s="100">
        <v>0</v>
      </c>
      <c r="AL212" s="100"/>
      <c r="AM212" s="100"/>
    </row>
    <row r="213" spans="1:56" ht="24.75" hidden="1" customHeight="1" outlineLevel="1" x14ac:dyDescent="0.3">
      <c r="A213" s="124" t="s">
        <v>157</v>
      </c>
      <c r="B213" s="122">
        <v>905</v>
      </c>
      <c r="C213" s="91" t="s">
        <v>124</v>
      </c>
      <c r="D213" s="105" t="s">
        <v>124</v>
      </c>
      <c r="E213" s="91" t="s">
        <v>158</v>
      </c>
      <c r="F213" s="91" t="s">
        <v>51</v>
      </c>
      <c r="G213" s="74">
        <f>G214</f>
        <v>0</v>
      </c>
      <c r="H213" s="74">
        <f>H214</f>
        <v>0</v>
      </c>
      <c r="I213" s="102"/>
      <c r="AL213" s="100"/>
      <c r="AM213" s="100"/>
    </row>
    <row r="214" spans="1:56" ht="37.5" hidden="1" outlineLevel="1" x14ac:dyDescent="0.3">
      <c r="A214" s="124" t="s">
        <v>433</v>
      </c>
      <c r="B214" s="122">
        <v>905</v>
      </c>
      <c r="C214" s="91" t="s">
        <v>124</v>
      </c>
      <c r="D214" s="105" t="s">
        <v>124</v>
      </c>
      <c r="E214" s="91" t="s">
        <v>158</v>
      </c>
      <c r="F214" s="91" t="s">
        <v>60</v>
      </c>
      <c r="G214" s="74">
        <f>7.5-7.5</f>
        <v>0</v>
      </c>
      <c r="H214" s="74">
        <f>7.5-7.5</f>
        <v>0</v>
      </c>
      <c r="I214" s="102"/>
      <c r="AL214" s="100"/>
      <c r="AM214" s="100"/>
    </row>
    <row r="215" spans="1:56" hidden="1" x14ac:dyDescent="0.3">
      <c r="A215" s="124" t="s">
        <v>67</v>
      </c>
      <c r="B215" s="122">
        <v>905</v>
      </c>
      <c r="C215" s="91" t="s">
        <v>124</v>
      </c>
      <c r="D215" s="105" t="s">
        <v>124</v>
      </c>
      <c r="E215" s="91" t="s">
        <v>464</v>
      </c>
      <c r="F215" s="91" t="s">
        <v>51</v>
      </c>
      <c r="G215" s="74">
        <f>G216</f>
        <v>0</v>
      </c>
      <c r="H215" s="74">
        <f>H216</f>
        <v>0</v>
      </c>
      <c r="I215" s="102"/>
      <c r="AL215" s="100"/>
      <c r="AM215" s="100"/>
    </row>
    <row r="216" spans="1:56" ht="37.5" hidden="1" x14ac:dyDescent="0.3">
      <c r="A216" s="124" t="s">
        <v>433</v>
      </c>
      <c r="B216" s="122">
        <v>905</v>
      </c>
      <c r="C216" s="91" t="s">
        <v>124</v>
      </c>
      <c r="D216" s="105" t="s">
        <v>124</v>
      </c>
      <c r="E216" s="91" t="s">
        <v>464</v>
      </c>
      <c r="F216" s="91" t="s">
        <v>60</v>
      </c>
      <c r="G216" s="74">
        <v>0</v>
      </c>
      <c r="H216" s="74">
        <v>0</v>
      </c>
      <c r="I216" s="102"/>
      <c r="AL216" s="100"/>
      <c r="AM216" s="100"/>
    </row>
    <row r="217" spans="1:56" ht="40.5" hidden="1" customHeight="1" x14ac:dyDescent="0.3">
      <c r="A217" s="124" t="s">
        <v>508</v>
      </c>
      <c r="B217" s="122">
        <v>905</v>
      </c>
      <c r="C217" s="91" t="s">
        <v>124</v>
      </c>
      <c r="D217" s="105" t="s">
        <v>124</v>
      </c>
      <c r="E217" s="91" t="s">
        <v>507</v>
      </c>
      <c r="F217" s="91" t="s">
        <v>51</v>
      </c>
      <c r="G217" s="74">
        <f>G218</f>
        <v>0</v>
      </c>
      <c r="H217" s="74">
        <f>H218</f>
        <v>0</v>
      </c>
      <c r="I217" s="102"/>
    </row>
    <row r="218" spans="1:56" ht="37.5" hidden="1" x14ac:dyDescent="0.3">
      <c r="A218" s="124" t="s">
        <v>433</v>
      </c>
      <c r="B218" s="122">
        <v>905</v>
      </c>
      <c r="C218" s="91" t="s">
        <v>124</v>
      </c>
      <c r="D218" s="105" t="s">
        <v>124</v>
      </c>
      <c r="E218" s="91" t="s">
        <v>507</v>
      </c>
      <c r="F218" s="91" t="s">
        <v>60</v>
      </c>
      <c r="G218" s="74">
        <v>0</v>
      </c>
      <c r="H218" s="74">
        <v>0</v>
      </c>
      <c r="I218" s="102"/>
    </row>
    <row r="219" spans="1:56" ht="56.25" hidden="1" x14ac:dyDescent="0.3">
      <c r="A219" s="124" t="s">
        <v>267</v>
      </c>
      <c r="B219" s="122">
        <v>905</v>
      </c>
      <c r="C219" s="91" t="s">
        <v>124</v>
      </c>
      <c r="D219" s="105" t="s">
        <v>124</v>
      </c>
      <c r="E219" s="91" t="s">
        <v>463</v>
      </c>
      <c r="F219" s="91" t="s">
        <v>264</v>
      </c>
      <c r="G219" s="74">
        <v>0</v>
      </c>
      <c r="H219" s="74">
        <v>0</v>
      </c>
      <c r="I219" s="102"/>
      <c r="S219" s="100">
        <v>0.13</v>
      </c>
      <c r="U219" s="100">
        <v>2.2800000000000001E-2</v>
      </c>
      <c r="AF219" s="100">
        <v>8.8450000000000006</v>
      </c>
      <c r="AI219" s="100">
        <v>0</v>
      </c>
    </row>
    <row r="220" spans="1:56" ht="37.5" hidden="1" x14ac:dyDescent="0.3">
      <c r="A220" s="124" t="s">
        <v>76</v>
      </c>
      <c r="B220" s="122">
        <v>905</v>
      </c>
      <c r="C220" s="91" t="s">
        <v>124</v>
      </c>
      <c r="D220" s="105" t="s">
        <v>124</v>
      </c>
      <c r="E220" s="91" t="s">
        <v>677</v>
      </c>
      <c r="F220" s="91" t="s">
        <v>51</v>
      </c>
      <c r="G220" s="74">
        <f>G221</f>
        <v>0</v>
      </c>
      <c r="H220" s="74">
        <f>H221</f>
        <v>0</v>
      </c>
      <c r="I220" s="102"/>
    </row>
    <row r="221" spans="1:56" ht="37.5" hidden="1" x14ac:dyDescent="0.3">
      <c r="A221" s="124" t="s">
        <v>433</v>
      </c>
      <c r="B221" s="122">
        <v>905</v>
      </c>
      <c r="C221" s="91" t="s">
        <v>124</v>
      </c>
      <c r="D221" s="105" t="s">
        <v>124</v>
      </c>
      <c r="E221" s="91" t="s">
        <v>677</v>
      </c>
      <c r="F221" s="91" t="s">
        <v>60</v>
      </c>
      <c r="G221" s="74">
        <v>0</v>
      </c>
      <c r="H221" s="74">
        <v>0</v>
      </c>
      <c r="I221" s="102"/>
      <c r="U221" s="100">
        <v>532.6</v>
      </c>
      <c r="AI221" s="100">
        <v>0</v>
      </c>
    </row>
    <row r="222" spans="1:56" ht="75" x14ac:dyDescent="0.3">
      <c r="A222" s="124" t="s">
        <v>252</v>
      </c>
      <c r="B222" s="122">
        <v>905</v>
      </c>
      <c r="C222" s="91" t="s">
        <v>124</v>
      </c>
      <c r="D222" s="105" t="s">
        <v>124</v>
      </c>
      <c r="E222" s="10" t="s">
        <v>829</v>
      </c>
      <c r="F222" s="91" t="s">
        <v>51</v>
      </c>
      <c r="G222" s="74">
        <f>G223</f>
        <v>2343.17</v>
      </c>
      <c r="H222" s="74">
        <f>H223</f>
        <v>2343.17</v>
      </c>
      <c r="I222" s="102"/>
    </row>
    <row r="223" spans="1:56" ht="44.25" customHeight="1" x14ac:dyDescent="0.3">
      <c r="A223" s="124" t="s">
        <v>304</v>
      </c>
      <c r="B223" s="122">
        <v>905</v>
      </c>
      <c r="C223" s="91" t="s">
        <v>124</v>
      </c>
      <c r="D223" s="105" t="s">
        <v>124</v>
      </c>
      <c r="E223" s="10" t="s">
        <v>830</v>
      </c>
      <c r="F223" s="91" t="s">
        <v>51</v>
      </c>
      <c r="G223" s="74">
        <f>G224+G225</f>
        <v>2343.17</v>
      </c>
      <c r="H223" s="74">
        <f>H224+H225</f>
        <v>2343.17</v>
      </c>
      <c r="I223" s="102"/>
    </row>
    <row r="224" spans="1:56" ht="37.5" x14ac:dyDescent="0.3">
      <c r="A224" s="124" t="s">
        <v>433</v>
      </c>
      <c r="B224" s="122">
        <v>905</v>
      </c>
      <c r="C224" s="91" t="s">
        <v>124</v>
      </c>
      <c r="D224" s="105" t="s">
        <v>124</v>
      </c>
      <c r="E224" s="10" t="s">
        <v>830</v>
      </c>
      <c r="F224" s="91" t="s">
        <v>60</v>
      </c>
      <c r="G224" s="74">
        <f>1929.52+413.65</f>
        <v>2343.17</v>
      </c>
      <c r="H224" s="74">
        <f>1929.52+413.65</f>
        <v>2343.17</v>
      </c>
      <c r="I224" s="102"/>
      <c r="AI224" s="100">
        <v>481.84</v>
      </c>
      <c r="AL224" s="102">
        <v>481.84</v>
      </c>
      <c r="AM224" s="102">
        <v>481.84</v>
      </c>
      <c r="AN224" s="100">
        <v>-15.3</v>
      </c>
      <c r="AO224" s="103">
        <v>-4.84</v>
      </c>
      <c r="AP224" s="100">
        <v>-15.3</v>
      </c>
      <c r="AQ224" s="100">
        <v>-4.84</v>
      </c>
      <c r="AS224" s="101">
        <v>1271.95</v>
      </c>
      <c r="AU224" s="101">
        <v>1271.95</v>
      </c>
      <c r="BC224" s="236">
        <v>1353.01</v>
      </c>
      <c r="BD224" s="237">
        <v>1353.01</v>
      </c>
    </row>
    <row r="225" spans="1:56" ht="56.25" hidden="1" x14ac:dyDescent="0.3">
      <c r="A225" s="124" t="s">
        <v>267</v>
      </c>
      <c r="B225" s="122">
        <v>905</v>
      </c>
      <c r="C225" s="91" t="s">
        <v>124</v>
      </c>
      <c r="D225" s="105" t="s">
        <v>124</v>
      </c>
      <c r="E225" s="10" t="s">
        <v>779</v>
      </c>
      <c r="F225" s="91" t="s">
        <v>264</v>
      </c>
      <c r="G225" s="74">
        <v>0</v>
      </c>
      <c r="H225" s="74">
        <v>0</v>
      </c>
      <c r="I225" s="102"/>
      <c r="J225" s="100">
        <v>162</v>
      </c>
      <c r="AI225" s="100">
        <v>163.63999999999999</v>
      </c>
      <c r="AL225" s="102">
        <v>163.63999999999999</v>
      </c>
      <c r="AM225" s="102">
        <v>163.63999999999999</v>
      </c>
      <c r="AO225" s="103">
        <v>-1.64</v>
      </c>
      <c r="AQ225" s="100">
        <v>-1.64</v>
      </c>
    </row>
    <row r="226" spans="1:56" ht="42" customHeight="1" x14ac:dyDescent="0.3">
      <c r="A226" s="124" t="s">
        <v>304</v>
      </c>
      <c r="B226" s="122">
        <v>905</v>
      </c>
      <c r="C226" s="91" t="s">
        <v>124</v>
      </c>
      <c r="D226" s="105" t="s">
        <v>124</v>
      </c>
      <c r="E226" s="10" t="s">
        <v>831</v>
      </c>
      <c r="F226" s="91" t="s">
        <v>51</v>
      </c>
      <c r="G226" s="74">
        <f>G227+G228</f>
        <v>24.2</v>
      </c>
      <c r="H226" s="74">
        <f>H227+H228</f>
        <v>24.2</v>
      </c>
      <c r="I226" s="102"/>
    </row>
    <row r="227" spans="1:56" ht="37.5" x14ac:dyDescent="0.3">
      <c r="A227" s="124" t="s">
        <v>433</v>
      </c>
      <c r="B227" s="122">
        <v>905</v>
      </c>
      <c r="C227" s="91" t="s">
        <v>124</v>
      </c>
      <c r="D227" s="105" t="s">
        <v>124</v>
      </c>
      <c r="E227" s="10" t="s">
        <v>831</v>
      </c>
      <c r="F227" s="91" t="s">
        <v>60</v>
      </c>
      <c r="G227" s="74">
        <f>20+4.2</f>
        <v>24.2</v>
      </c>
      <c r="H227" s="74">
        <f>20+4.2</f>
        <v>24.2</v>
      </c>
      <c r="I227" s="102"/>
      <c r="AI227" s="100">
        <v>4.84</v>
      </c>
      <c r="AL227" s="102">
        <v>4.84</v>
      </c>
      <c r="AM227" s="102">
        <v>4.84</v>
      </c>
      <c r="AO227" s="103">
        <v>-0.17630000000000001</v>
      </c>
      <c r="AQ227" s="100">
        <v>-0.17630000000000001</v>
      </c>
      <c r="AR227" s="101">
        <v>12.9</v>
      </c>
      <c r="AT227" s="101">
        <v>12.9</v>
      </c>
      <c r="BC227" s="236">
        <v>13.7</v>
      </c>
      <c r="BD227" s="237">
        <v>13.7</v>
      </c>
    </row>
    <row r="228" spans="1:56" ht="56.25" hidden="1" x14ac:dyDescent="0.3">
      <c r="A228" s="124" t="s">
        <v>267</v>
      </c>
      <c r="B228" s="122">
        <v>905</v>
      </c>
      <c r="C228" s="91" t="s">
        <v>124</v>
      </c>
      <c r="D228" s="105" t="s">
        <v>124</v>
      </c>
      <c r="E228" s="91" t="s">
        <v>415</v>
      </c>
      <c r="F228" s="91" t="s">
        <v>264</v>
      </c>
      <c r="G228" s="74">
        <v>0</v>
      </c>
      <c r="H228" s="74">
        <v>0</v>
      </c>
      <c r="I228" s="102"/>
      <c r="J228" s="100">
        <v>1.6364000000000001</v>
      </c>
      <c r="AI228" s="100">
        <v>1.64</v>
      </c>
      <c r="AL228" s="102">
        <v>1.64</v>
      </c>
      <c r="AM228" s="102">
        <v>1.64</v>
      </c>
      <c r="AO228" s="103">
        <v>-3.5999999999999999E-3</v>
      </c>
      <c r="AQ228" s="100">
        <v>-3.5999999999999999E-3</v>
      </c>
    </row>
    <row r="229" spans="1:56" ht="37.5" x14ac:dyDescent="0.3">
      <c r="A229" s="121" t="s">
        <v>142</v>
      </c>
      <c r="B229" s="122">
        <v>905</v>
      </c>
      <c r="C229" s="91" t="s">
        <v>124</v>
      </c>
      <c r="D229" s="105" t="s">
        <v>124</v>
      </c>
      <c r="E229" s="123" t="s">
        <v>80</v>
      </c>
      <c r="F229" s="123" t="s">
        <v>51</v>
      </c>
      <c r="G229" s="74">
        <f>G230+G236</f>
        <v>3189.2999999999997</v>
      </c>
      <c r="H229" s="74">
        <f>H230+H236</f>
        <v>3189.2999999999997</v>
      </c>
      <c r="I229" s="102"/>
    </row>
    <row r="230" spans="1:56" ht="37.5" x14ac:dyDescent="0.3">
      <c r="A230" s="124" t="s">
        <v>53</v>
      </c>
      <c r="B230" s="122">
        <v>905</v>
      </c>
      <c r="C230" s="91" t="s">
        <v>124</v>
      </c>
      <c r="D230" s="105" t="s">
        <v>124</v>
      </c>
      <c r="E230" s="91" t="s">
        <v>163</v>
      </c>
      <c r="F230" s="91" t="s">
        <v>51</v>
      </c>
      <c r="G230" s="74">
        <f>G231+G234</f>
        <v>3189.2999999999997</v>
      </c>
      <c r="H230" s="74">
        <f>H231+H234</f>
        <v>3189.2999999999997</v>
      </c>
      <c r="I230" s="102"/>
    </row>
    <row r="231" spans="1:56" x14ac:dyDescent="0.3">
      <c r="A231" s="124" t="s">
        <v>83</v>
      </c>
      <c r="B231" s="122">
        <v>905</v>
      </c>
      <c r="C231" s="91" t="s">
        <v>124</v>
      </c>
      <c r="D231" s="105" t="s">
        <v>124</v>
      </c>
      <c r="E231" s="91" t="s">
        <v>164</v>
      </c>
      <c r="F231" s="91" t="s">
        <v>51</v>
      </c>
      <c r="G231" s="74">
        <f>G232+G233</f>
        <v>3189.2999999999997</v>
      </c>
      <c r="H231" s="74">
        <f>H232+H233</f>
        <v>3189.2999999999997</v>
      </c>
      <c r="I231" s="102"/>
    </row>
    <row r="232" spans="1:56" ht="93.75" x14ac:dyDescent="0.3">
      <c r="A232" s="124" t="s">
        <v>57</v>
      </c>
      <c r="B232" s="122">
        <v>905</v>
      </c>
      <c r="C232" s="91" t="s">
        <v>124</v>
      </c>
      <c r="D232" s="105" t="s">
        <v>124</v>
      </c>
      <c r="E232" s="91" t="s">
        <v>164</v>
      </c>
      <c r="F232" s="91" t="s">
        <v>58</v>
      </c>
      <c r="G232" s="74">
        <v>2808.1</v>
      </c>
      <c r="H232" s="74">
        <v>2808.1</v>
      </c>
      <c r="I232" s="102"/>
      <c r="AI232" s="100">
        <v>1815</v>
      </c>
      <c r="AL232" s="102">
        <v>1815</v>
      </c>
      <c r="AM232" s="102">
        <v>1815</v>
      </c>
      <c r="AR232" s="101">
        <v>2313.1999999999998</v>
      </c>
      <c r="AT232" s="101">
        <v>2313.1999999999998</v>
      </c>
      <c r="BA232" s="227">
        <v>2408.4</v>
      </c>
      <c r="BB232" s="223">
        <v>2408.4</v>
      </c>
    </row>
    <row r="233" spans="1:56" ht="37.5" x14ac:dyDescent="0.3">
      <c r="A233" s="124" t="s">
        <v>433</v>
      </c>
      <c r="B233" s="122">
        <v>905</v>
      </c>
      <c r="C233" s="91" t="s">
        <v>124</v>
      </c>
      <c r="D233" s="105" t="s">
        <v>124</v>
      </c>
      <c r="E233" s="91" t="s">
        <v>164</v>
      </c>
      <c r="F233" s="91" t="s">
        <v>60</v>
      </c>
      <c r="G233" s="74">
        <f>142+239.2</f>
        <v>381.2</v>
      </c>
      <c r="H233" s="74">
        <v>381.2</v>
      </c>
      <c r="I233" s="102"/>
      <c r="K233" s="100">
        <v>44.4</v>
      </c>
      <c r="AA233" s="100">
        <v>15</v>
      </c>
      <c r="AI233" s="100">
        <v>264.5</v>
      </c>
      <c r="AL233" s="102">
        <v>142.6</v>
      </c>
      <c r="AM233" s="102">
        <v>142.6</v>
      </c>
      <c r="AR233" s="101">
        <v>201.7</v>
      </c>
      <c r="AT233" s="101">
        <v>201.7</v>
      </c>
      <c r="BA233" s="227">
        <v>263.52</v>
      </c>
      <c r="BB233" s="223">
        <v>263.52</v>
      </c>
    </row>
    <row r="234" spans="1:56" ht="37.5" hidden="1" x14ac:dyDescent="0.3">
      <c r="A234" s="125" t="s">
        <v>377</v>
      </c>
      <c r="B234" s="122">
        <v>905</v>
      </c>
      <c r="C234" s="91" t="s">
        <v>124</v>
      </c>
      <c r="D234" s="105" t="s">
        <v>124</v>
      </c>
      <c r="E234" s="91" t="s">
        <v>515</v>
      </c>
      <c r="F234" s="91" t="s">
        <v>51</v>
      </c>
      <c r="G234" s="74">
        <f>G235</f>
        <v>0</v>
      </c>
      <c r="H234" s="74">
        <f>H235</f>
        <v>0</v>
      </c>
      <c r="I234" s="102"/>
    </row>
    <row r="235" spans="1:56" ht="93.75" hidden="1" x14ac:dyDescent="0.3">
      <c r="A235" s="124" t="s">
        <v>57</v>
      </c>
      <c r="B235" s="122">
        <v>905</v>
      </c>
      <c r="C235" s="91" t="s">
        <v>124</v>
      </c>
      <c r="D235" s="105" t="s">
        <v>124</v>
      </c>
      <c r="E235" s="91" t="s">
        <v>515</v>
      </c>
      <c r="F235" s="91" t="s">
        <v>58</v>
      </c>
      <c r="G235" s="74">
        <v>0</v>
      </c>
      <c r="H235" s="74">
        <v>0</v>
      </c>
      <c r="I235" s="102"/>
      <c r="AE235" s="100">
        <v>36.799999999999997</v>
      </c>
      <c r="AI235" s="100">
        <v>0</v>
      </c>
    </row>
    <row r="236" spans="1:56" hidden="1" x14ac:dyDescent="0.3">
      <c r="A236" s="124" t="s">
        <v>63</v>
      </c>
      <c r="B236" s="122">
        <v>905</v>
      </c>
      <c r="C236" s="91" t="s">
        <v>124</v>
      </c>
      <c r="D236" s="105" t="s">
        <v>124</v>
      </c>
      <c r="E236" s="91" t="s">
        <v>81</v>
      </c>
      <c r="F236" s="91" t="s">
        <v>51</v>
      </c>
      <c r="G236" s="74">
        <f>G237</f>
        <v>0</v>
      </c>
      <c r="H236" s="74">
        <f>H237</f>
        <v>0</v>
      </c>
      <c r="I236" s="102"/>
    </row>
    <row r="237" spans="1:56" hidden="1" x14ac:dyDescent="0.3">
      <c r="A237" s="124" t="s">
        <v>165</v>
      </c>
      <c r="B237" s="122">
        <v>905</v>
      </c>
      <c r="C237" s="91" t="s">
        <v>124</v>
      </c>
      <c r="D237" s="105" t="s">
        <v>124</v>
      </c>
      <c r="E237" s="91" t="s">
        <v>166</v>
      </c>
      <c r="F237" s="91" t="s">
        <v>51</v>
      </c>
      <c r="G237" s="74">
        <f>G238</f>
        <v>0</v>
      </c>
      <c r="H237" s="74">
        <f>H238</f>
        <v>0</v>
      </c>
      <c r="I237" s="102"/>
    </row>
    <row r="238" spans="1:56" ht="37.5" hidden="1" x14ac:dyDescent="0.3">
      <c r="A238" s="124" t="s">
        <v>433</v>
      </c>
      <c r="B238" s="122">
        <v>905</v>
      </c>
      <c r="C238" s="91" t="s">
        <v>124</v>
      </c>
      <c r="D238" s="105" t="s">
        <v>124</v>
      </c>
      <c r="E238" s="91" t="s">
        <v>166</v>
      </c>
      <c r="F238" s="91" t="s">
        <v>60</v>
      </c>
      <c r="G238" s="74">
        <v>0</v>
      </c>
      <c r="H238" s="74">
        <v>0</v>
      </c>
      <c r="I238" s="102"/>
      <c r="R238" s="100">
        <v>24.5</v>
      </c>
      <c r="AI238" s="100">
        <v>0</v>
      </c>
    </row>
    <row r="239" spans="1:56" hidden="1" outlineLevel="1" x14ac:dyDescent="0.3">
      <c r="A239" s="124" t="s">
        <v>84</v>
      </c>
      <c r="B239" s="122">
        <v>905</v>
      </c>
      <c r="C239" s="91" t="s">
        <v>124</v>
      </c>
      <c r="D239" s="105" t="s">
        <v>124</v>
      </c>
      <c r="E239" s="91" t="s">
        <v>85</v>
      </c>
      <c r="F239" s="91" t="s">
        <v>51</v>
      </c>
      <c r="G239" s="74">
        <f>G240+G243</f>
        <v>0</v>
      </c>
      <c r="H239" s="74">
        <f>H240+H243</f>
        <v>0</v>
      </c>
      <c r="I239" s="102"/>
    </row>
    <row r="240" spans="1:56" ht="75" hidden="1" outlineLevel="1" x14ac:dyDescent="0.3">
      <c r="A240" s="124" t="s">
        <v>252</v>
      </c>
      <c r="B240" s="122">
        <v>905</v>
      </c>
      <c r="C240" s="91" t="s">
        <v>124</v>
      </c>
      <c r="D240" s="105" t="s">
        <v>124</v>
      </c>
      <c r="E240" s="91" t="s">
        <v>303</v>
      </c>
      <c r="F240" s="91" t="s">
        <v>51</v>
      </c>
      <c r="G240" s="142">
        <f>G241</f>
        <v>0</v>
      </c>
      <c r="H240" s="142">
        <f>H241</f>
        <v>0</v>
      </c>
      <c r="I240" s="102"/>
    </row>
    <row r="241" spans="1:54" ht="38.25" hidden="1" customHeight="1" outlineLevel="1" x14ac:dyDescent="0.3">
      <c r="A241" s="124" t="s">
        <v>304</v>
      </c>
      <c r="B241" s="122">
        <v>905</v>
      </c>
      <c r="C241" s="91" t="s">
        <v>124</v>
      </c>
      <c r="D241" s="105" t="s">
        <v>124</v>
      </c>
      <c r="E241" s="91" t="s">
        <v>305</v>
      </c>
      <c r="F241" s="91" t="s">
        <v>51</v>
      </c>
      <c r="G241" s="142">
        <f>G242</f>
        <v>0</v>
      </c>
      <c r="H241" s="142">
        <f>H242</f>
        <v>0</v>
      </c>
      <c r="I241" s="102"/>
    </row>
    <row r="242" spans="1:54" ht="37.5" hidden="1" outlineLevel="1" x14ac:dyDescent="0.3">
      <c r="A242" s="124" t="s">
        <v>59</v>
      </c>
      <c r="B242" s="122">
        <v>905</v>
      </c>
      <c r="C242" s="91" t="s">
        <v>124</v>
      </c>
      <c r="D242" s="105" t="s">
        <v>124</v>
      </c>
      <c r="E242" s="91" t="s">
        <v>305</v>
      </c>
      <c r="F242" s="91" t="s">
        <v>60</v>
      </c>
      <c r="G242" s="143">
        <v>0</v>
      </c>
      <c r="H242" s="143">
        <v>0</v>
      </c>
      <c r="I242" s="102"/>
    </row>
    <row r="243" spans="1:54" ht="36.75" hidden="1" customHeight="1" outlineLevel="1" x14ac:dyDescent="0.3">
      <c r="A243" s="124" t="s">
        <v>304</v>
      </c>
      <c r="B243" s="122">
        <v>905</v>
      </c>
      <c r="C243" s="91" t="s">
        <v>124</v>
      </c>
      <c r="D243" s="105" t="s">
        <v>124</v>
      </c>
      <c r="E243" s="91" t="s">
        <v>306</v>
      </c>
      <c r="F243" s="91" t="s">
        <v>51</v>
      </c>
      <c r="G243" s="144">
        <f>G244</f>
        <v>0</v>
      </c>
      <c r="H243" s="144">
        <f>H244</f>
        <v>0</v>
      </c>
      <c r="I243" s="102"/>
    </row>
    <row r="244" spans="1:54" ht="37.5" hidden="1" outlineLevel="1" x14ac:dyDescent="0.3">
      <c r="A244" s="124" t="s">
        <v>59</v>
      </c>
      <c r="B244" s="122">
        <v>905</v>
      </c>
      <c r="C244" s="91" t="s">
        <v>124</v>
      </c>
      <c r="D244" s="105" t="s">
        <v>124</v>
      </c>
      <c r="E244" s="91" t="s">
        <v>306</v>
      </c>
      <c r="F244" s="91" t="s">
        <v>60</v>
      </c>
      <c r="G244" s="144">
        <v>0</v>
      </c>
      <c r="H244" s="144">
        <v>0</v>
      </c>
      <c r="I244" s="102"/>
    </row>
    <row r="245" spans="1:54" hidden="1" outlineLevel="1" x14ac:dyDescent="0.3">
      <c r="A245" s="124" t="s">
        <v>63</v>
      </c>
      <c r="B245" s="122"/>
      <c r="C245" s="91"/>
      <c r="D245" s="105"/>
      <c r="E245" s="91"/>
      <c r="F245" s="91"/>
      <c r="G245" s="144"/>
      <c r="H245" s="144"/>
      <c r="I245" s="102"/>
    </row>
    <row r="246" spans="1:54" hidden="1" outlineLevel="1" x14ac:dyDescent="0.3">
      <c r="A246" s="124"/>
      <c r="B246" s="122"/>
      <c r="C246" s="91"/>
      <c r="D246" s="105"/>
      <c r="E246" s="91"/>
      <c r="F246" s="91"/>
      <c r="G246" s="144"/>
      <c r="H246" s="144"/>
      <c r="I246" s="102"/>
    </row>
    <row r="247" spans="1:54" hidden="1" outlineLevel="1" x14ac:dyDescent="0.3">
      <c r="A247" s="124"/>
      <c r="B247" s="122"/>
      <c r="C247" s="91"/>
      <c r="D247" s="105"/>
      <c r="E247" s="91"/>
      <c r="F247" s="91"/>
      <c r="G247" s="144"/>
      <c r="H247" s="144"/>
      <c r="I247" s="102"/>
    </row>
    <row r="248" spans="1:54" hidden="1" outlineLevel="1" x14ac:dyDescent="0.3">
      <c r="A248" s="124"/>
      <c r="B248" s="122"/>
      <c r="C248" s="91"/>
      <c r="D248" s="105"/>
      <c r="E248" s="91"/>
      <c r="F248" s="91"/>
      <c r="G248" s="144"/>
      <c r="H248" s="144"/>
      <c r="I248" s="102"/>
    </row>
    <row r="249" spans="1:54" collapsed="1" x14ac:dyDescent="0.3">
      <c r="A249" s="119" t="s">
        <v>128</v>
      </c>
      <c r="B249" s="118">
        <v>905</v>
      </c>
      <c r="C249" s="114" t="s">
        <v>124</v>
      </c>
      <c r="D249" s="120" t="s">
        <v>129</v>
      </c>
      <c r="E249" s="118" t="s">
        <v>50</v>
      </c>
      <c r="F249" s="114" t="s">
        <v>51</v>
      </c>
      <c r="G249" s="93">
        <f>G250+G271</f>
        <v>17438.199999999997</v>
      </c>
      <c r="H249" s="93">
        <f>H250+H271</f>
        <v>17438.199999999997</v>
      </c>
      <c r="I249" s="102"/>
    </row>
    <row r="250" spans="1:54" ht="45" customHeight="1" x14ac:dyDescent="0.3">
      <c r="A250" s="124" t="s">
        <v>38</v>
      </c>
      <c r="B250" s="122">
        <v>905</v>
      </c>
      <c r="C250" s="91" t="s">
        <v>124</v>
      </c>
      <c r="D250" s="105" t="s">
        <v>129</v>
      </c>
      <c r="E250" s="123" t="s">
        <v>406</v>
      </c>
      <c r="F250" s="91" t="s">
        <v>51</v>
      </c>
      <c r="G250" s="74">
        <f>G251+G261</f>
        <v>17438.199999999997</v>
      </c>
      <c r="H250" s="74">
        <f>H251+H261</f>
        <v>17438.199999999997</v>
      </c>
      <c r="I250" s="102"/>
    </row>
    <row r="251" spans="1:54" ht="56.25" x14ac:dyDescent="0.3">
      <c r="A251" s="124" t="s">
        <v>139</v>
      </c>
      <c r="B251" s="122">
        <v>905</v>
      </c>
      <c r="C251" s="91" t="s">
        <v>124</v>
      </c>
      <c r="D251" s="105" t="s">
        <v>129</v>
      </c>
      <c r="E251" s="123" t="s">
        <v>52</v>
      </c>
      <c r="F251" s="91" t="s">
        <v>51</v>
      </c>
      <c r="G251" s="74">
        <f>G252</f>
        <v>14253.699999999999</v>
      </c>
      <c r="H251" s="74">
        <f>H252</f>
        <v>14253.699999999999</v>
      </c>
      <c r="I251" s="102"/>
    </row>
    <row r="252" spans="1:54" ht="37.5" x14ac:dyDescent="0.3">
      <c r="A252" s="124" t="s">
        <v>53</v>
      </c>
      <c r="B252" s="122">
        <v>905</v>
      </c>
      <c r="C252" s="91" t="s">
        <v>124</v>
      </c>
      <c r="D252" s="105" t="s">
        <v>129</v>
      </c>
      <c r="E252" s="123" t="s">
        <v>54</v>
      </c>
      <c r="F252" s="91" t="s">
        <v>51</v>
      </c>
      <c r="G252" s="74">
        <f>G253+G259+G257</f>
        <v>14253.699999999999</v>
      </c>
      <c r="H252" s="74">
        <f>H253+H259+H257</f>
        <v>14253.699999999999</v>
      </c>
      <c r="I252" s="102"/>
    </row>
    <row r="253" spans="1:54" x14ac:dyDescent="0.3">
      <c r="A253" s="124" t="s">
        <v>83</v>
      </c>
      <c r="B253" s="122">
        <v>905</v>
      </c>
      <c r="C253" s="91" t="s">
        <v>124</v>
      </c>
      <c r="D253" s="105" t="s">
        <v>129</v>
      </c>
      <c r="E253" s="91" t="s">
        <v>44</v>
      </c>
      <c r="F253" s="91" t="s">
        <v>51</v>
      </c>
      <c r="G253" s="74">
        <f>G254+G255+G256</f>
        <v>14253.699999999999</v>
      </c>
      <c r="H253" s="74">
        <f>H254+H255+H256</f>
        <v>14253.699999999999</v>
      </c>
      <c r="I253" s="102"/>
    </row>
    <row r="254" spans="1:54" ht="93.75" x14ac:dyDescent="0.3">
      <c r="A254" s="124" t="s">
        <v>57</v>
      </c>
      <c r="B254" s="122">
        <v>905</v>
      </c>
      <c r="C254" s="91" t="s">
        <v>124</v>
      </c>
      <c r="D254" s="105" t="s">
        <v>129</v>
      </c>
      <c r="E254" s="91" t="s">
        <v>44</v>
      </c>
      <c r="F254" s="91" t="s">
        <v>58</v>
      </c>
      <c r="G254" s="74">
        <v>13503.4</v>
      </c>
      <c r="H254" s="74">
        <v>13503.4</v>
      </c>
      <c r="I254" s="102"/>
      <c r="AF254" s="100">
        <v>-0.85419</v>
      </c>
      <c r="AI254" s="100">
        <v>8875.2999999999993</v>
      </c>
      <c r="AL254" s="102">
        <v>8875.2999999999993</v>
      </c>
      <c r="AM254" s="102">
        <v>8875.2999999999993</v>
      </c>
      <c r="AR254" s="101">
        <v>10544.2</v>
      </c>
      <c r="AT254" s="101">
        <v>10544.2</v>
      </c>
      <c r="BA254" s="227">
        <v>10859.4</v>
      </c>
      <c r="BB254" s="223">
        <v>10859.4</v>
      </c>
    </row>
    <row r="255" spans="1:54" ht="37.5" x14ac:dyDescent="0.3">
      <c r="A255" s="124" t="s">
        <v>433</v>
      </c>
      <c r="B255" s="122">
        <v>905</v>
      </c>
      <c r="C255" s="91" t="s">
        <v>124</v>
      </c>
      <c r="D255" s="105" t="s">
        <v>129</v>
      </c>
      <c r="E255" s="91" t="s">
        <v>44</v>
      </c>
      <c r="F255" s="91" t="s">
        <v>60</v>
      </c>
      <c r="G255" s="74">
        <f>702.4+47.9</f>
        <v>750.3</v>
      </c>
      <c r="H255" s="74">
        <v>750.3</v>
      </c>
      <c r="I255" s="102"/>
      <c r="L255" s="100">
        <v>35</v>
      </c>
      <c r="R255" s="100">
        <f>25+6.9+44</f>
        <v>75.900000000000006</v>
      </c>
      <c r="AA255" s="100">
        <v>45</v>
      </c>
      <c r="AC255" s="100">
        <v>79</v>
      </c>
      <c r="AF255" s="100">
        <v>30</v>
      </c>
      <c r="AI255" s="100">
        <v>518.6</v>
      </c>
      <c r="AL255" s="102">
        <v>97.8</v>
      </c>
      <c r="AM255" s="102">
        <v>97.8</v>
      </c>
      <c r="AR255" s="101">
        <f>61.5+89.6+100</f>
        <v>251.1</v>
      </c>
      <c r="AT255" s="101">
        <f>61.5+89.6+100</f>
        <v>251.1</v>
      </c>
      <c r="BA255" s="227">
        <v>598.5</v>
      </c>
      <c r="BB255" s="223">
        <v>598.5</v>
      </c>
    </row>
    <row r="256" spans="1:54" ht="28.5" hidden="1" customHeight="1" x14ac:dyDescent="0.3">
      <c r="A256" s="124" t="s">
        <v>176</v>
      </c>
      <c r="B256" s="122">
        <v>905</v>
      </c>
      <c r="C256" s="91" t="s">
        <v>124</v>
      </c>
      <c r="D256" s="105" t="s">
        <v>129</v>
      </c>
      <c r="E256" s="91" t="s">
        <v>44</v>
      </c>
      <c r="F256" s="91" t="s">
        <v>177</v>
      </c>
      <c r="G256" s="74">
        <v>0</v>
      </c>
      <c r="H256" s="74">
        <v>0</v>
      </c>
      <c r="I256" s="102"/>
      <c r="AF256" s="100">
        <v>0.85419</v>
      </c>
      <c r="AI256" s="100">
        <v>0</v>
      </c>
    </row>
    <row r="257" spans="1:54" ht="41.25" hidden="1" customHeight="1" x14ac:dyDescent="0.3">
      <c r="A257" s="125" t="s">
        <v>377</v>
      </c>
      <c r="B257" s="122">
        <v>905</v>
      </c>
      <c r="C257" s="91" t="s">
        <v>124</v>
      </c>
      <c r="D257" s="105" t="s">
        <v>129</v>
      </c>
      <c r="E257" s="91" t="s">
        <v>516</v>
      </c>
      <c r="F257" s="91" t="s">
        <v>51</v>
      </c>
      <c r="G257" s="74">
        <f>G258</f>
        <v>0</v>
      </c>
      <c r="H257" s="74">
        <f>H258</f>
        <v>0</v>
      </c>
      <c r="I257" s="102"/>
    </row>
    <row r="258" spans="1:54" ht="98.25" hidden="1" customHeight="1" x14ac:dyDescent="0.3">
      <c r="A258" s="124" t="s">
        <v>57</v>
      </c>
      <c r="B258" s="122">
        <v>905</v>
      </c>
      <c r="C258" s="91" t="s">
        <v>124</v>
      </c>
      <c r="D258" s="105" t="s">
        <v>129</v>
      </c>
      <c r="E258" s="91" t="s">
        <v>516</v>
      </c>
      <c r="F258" s="91" t="s">
        <v>58</v>
      </c>
      <c r="G258" s="74">
        <v>0</v>
      </c>
      <c r="H258" s="74">
        <v>0</v>
      </c>
      <c r="I258" s="102"/>
      <c r="AE258" s="100">
        <v>1046.5</v>
      </c>
      <c r="AI258" s="100">
        <v>0</v>
      </c>
    </row>
    <row r="259" spans="1:54" ht="37.5" hidden="1" customHeight="1" x14ac:dyDescent="0.3">
      <c r="A259" s="125" t="s">
        <v>381</v>
      </c>
      <c r="B259" s="122">
        <v>905</v>
      </c>
      <c r="C259" s="91" t="s">
        <v>124</v>
      </c>
      <c r="D259" s="105" t="s">
        <v>117</v>
      </c>
      <c r="E259" s="91" t="s">
        <v>513</v>
      </c>
      <c r="F259" s="91" t="s">
        <v>51</v>
      </c>
      <c r="G259" s="74">
        <v>0</v>
      </c>
      <c r="H259" s="74">
        <v>0</v>
      </c>
      <c r="I259" s="102"/>
    </row>
    <row r="260" spans="1:54" ht="99.75" hidden="1" customHeight="1" x14ac:dyDescent="0.3">
      <c r="A260" s="124" t="s">
        <v>57</v>
      </c>
      <c r="B260" s="122">
        <v>905</v>
      </c>
      <c r="C260" s="91" t="s">
        <v>124</v>
      </c>
      <c r="D260" s="105" t="s">
        <v>117</v>
      </c>
      <c r="E260" s="91" t="s">
        <v>513</v>
      </c>
      <c r="F260" s="91" t="s">
        <v>58</v>
      </c>
      <c r="G260" s="74">
        <v>0</v>
      </c>
      <c r="H260" s="74">
        <v>0</v>
      </c>
      <c r="I260" s="102"/>
    </row>
    <row r="261" spans="1:54" ht="37.5" x14ac:dyDescent="0.3">
      <c r="A261" s="125" t="s">
        <v>140</v>
      </c>
      <c r="B261" s="122">
        <v>905</v>
      </c>
      <c r="C261" s="91" t="s">
        <v>124</v>
      </c>
      <c r="D261" s="105" t="s">
        <v>129</v>
      </c>
      <c r="E261" s="123" t="s">
        <v>73</v>
      </c>
      <c r="F261" s="123" t="s">
        <v>51</v>
      </c>
      <c r="G261" s="74">
        <f>G262+G268</f>
        <v>3184.5</v>
      </c>
      <c r="H261" s="74">
        <f>H262+H268</f>
        <v>3184.5</v>
      </c>
      <c r="I261" s="102"/>
    </row>
    <row r="262" spans="1:54" ht="37.5" x14ac:dyDescent="0.3">
      <c r="A262" s="124" t="s">
        <v>53</v>
      </c>
      <c r="B262" s="122">
        <v>905</v>
      </c>
      <c r="C262" s="91" t="s">
        <v>124</v>
      </c>
      <c r="D262" s="105" t="s">
        <v>129</v>
      </c>
      <c r="E262" s="123" t="s">
        <v>151</v>
      </c>
      <c r="F262" s="123" t="s">
        <v>51</v>
      </c>
      <c r="G262" s="74">
        <f>G263+G266</f>
        <v>3184.5</v>
      </c>
      <c r="H262" s="74">
        <f>H263+H266</f>
        <v>3184.5</v>
      </c>
      <c r="I262" s="102"/>
    </row>
    <row r="263" spans="1:54" x14ac:dyDescent="0.3">
      <c r="A263" s="124" t="s">
        <v>79</v>
      </c>
      <c r="B263" s="122">
        <v>905</v>
      </c>
      <c r="C263" s="91" t="s">
        <v>124</v>
      </c>
      <c r="D263" s="105" t="s">
        <v>129</v>
      </c>
      <c r="E263" s="123" t="s">
        <v>152</v>
      </c>
      <c r="F263" s="123" t="s">
        <v>51</v>
      </c>
      <c r="G263" s="74">
        <f>G264+G265</f>
        <v>3184.5</v>
      </c>
      <c r="H263" s="74">
        <f>H264+H265</f>
        <v>3184.5</v>
      </c>
      <c r="I263" s="102"/>
    </row>
    <row r="264" spans="1:54" ht="93.75" x14ac:dyDescent="0.3">
      <c r="A264" s="124" t="s">
        <v>57</v>
      </c>
      <c r="B264" s="122">
        <v>905</v>
      </c>
      <c r="C264" s="91" t="s">
        <v>124</v>
      </c>
      <c r="D264" s="105" t="s">
        <v>129</v>
      </c>
      <c r="E264" s="123" t="s">
        <v>152</v>
      </c>
      <c r="F264" s="123" t="s">
        <v>58</v>
      </c>
      <c r="G264" s="74">
        <v>3109.3</v>
      </c>
      <c r="H264" s="74">
        <v>3109.3</v>
      </c>
      <c r="I264" s="102"/>
      <c r="AI264" s="100">
        <v>1769.8</v>
      </c>
      <c r="AL264" s="102">
        <v>1769.8</v>
      </c>
      <c r="AM264" s="102">
        <v>1769.8</v>
      </c>
      <c r="AR264" s="101">
        <v>2534.6</v>
      </c>
      <c r="AT264" s="101">
        <v>2534.6</v>
      </c>
      <c r="BA264" s="227">
        <v>2532.6999999999998</v>
      </c>
      <c r="BB264" s="223">
        <v>2532.6999999999998</v>
      </c>
    </row>
    <row r="265" spans="1:54" ht="37.5" x14ac:dyDescent="0.3">
      <c r="A265" s="124" t="s">
        <v>433</v>
      </c>
      <c r="B265" s="122">
        <v>905</v>
      </c>
      <c r="C265" s="91" t="s">
        <v>124</v>
      </c>
      <c r="D265" s="105" t="s">
        <v>129</v>
      </c>
      <c r="E265" s="123" t="s">
        <v>152</v>
      </c>
      <c r="F265" s="123" t="s">
        <v>60</v>
      </c>
      <c r="G265" s="74">
        <f>51.4+23.8</f>
        <v>75.2</v>
      </c>
      <c r="H265" s="74">
        <v>75.2</v>
      </c>
      <c r="I265" s="102"/>
      <c r="AA265" s="100">
        <v>5</v>
      </c>
      <c r="AI265" s="100">
        <v>65.900000000000006</v>
      </c>
      <c r="AL265" s="102">
        <v>30.4</v>
      </c>
      <c r="AM265" s="102">
        <v>30.4</v>
      </c>
      <c r="AR265" s="101">
        <v>30</v>
      </c>
      <c r="AT265" s="101">
        <v>30</v>
      </c>
      <c r="BA265" s="227">
        <v>72.8</v>
      </c>
      <c r="BB265" s="223">
        <v>72.8</v>
      </c>
    </row>
    <row r="266" spans="1:54" ht="37.5" hidden="1" x14ac:dyDescent="0.3">
      <c r="A266" s="125" t="s">
        <v>377</v>
      </c>
      <c r="B266" s="122">
        <v>905</v>
      </c>
      <c r="C266" s="91" t="s">
        <v>124</v>
      </c>
      <c r="D266" s="105" t="s">
        <v>129</v>
      </c>
      <c r="E266" s="123" t="s">
        <v>517</v>
      </c>
      <c r="F266" s="123" t="s">
        <v>51</v>
      </c>
      <c r="G266" s="74">
        <f>G267</f>
        <v>0</v>
      </c>
      <c r="H266" s="74">
        <f>H267</f>
        <v>0</v>
      </c>
      <c r="I266" s="102"/>
    </row>
    <row r="267" spans="1:54" ht="93.75" hidden="1" x14ac:dyDescent="0.3">
      <c r="A267" s="124" t="s">
        <v>57</v>
      </c>
      <c r="B267" s="122">
        <v>905</v>
      </c>
      <c r="C267" s="91" t="s">
        <v>124</v>
      </c>
      <c r="D267" s="105" t="s">
        <v>129</v>
      </c>
      <c r="E267" s="123" t="s">
        <v>517</v>
      </c>
      <c r="F267" s="123" t="s">
        <v>58</v>
      </c>
      <c r="G267" s="74">
        <v>0</v>
      </c>
      <c r="H267" s="74">
        <v>0</v>
      </c>
      <c r="I267" s="102"/>
      <c r="AE267" s="100">
        <v>36.799999999999997</v>
      </c>
      <c r="AI267" s="100">
        <v>0</v>
      </c>
    </row>
    <row r="268" spans="1:54" hidden="1" x14ac:dyDescent="0.3">
      <c r="A268" s="124" t="s">
        <v>63</v>
      </c>
      <c r="B268" s="122">
        <v>905</v>
      </c>
      <c r="C268" s="91" t="s">
        <v>124</v>
      </c>
      <c r="D268" s="105" t="s">
        <v>129</v>
      </c>
      <c r="E268" s="91" t="s">
        <v>155</v>
      </c>
      <c r="F268" s="91" t="s">
        <v>51</v>
      </c>
      <c r="G268" s="74">
        <f>G269</f>
        <v>0</v>
      </c>
      <c r="H268" s="74">
        <f>H269</f>
        <v>0</v>
      </c>
      <c r="I268" s="102"/>
    </row>
    <row r="269" spans="1:54" hidden="1" x14ac:dyDescent="0.3">
      <c r="A269" s="124" t="s">
        <v>154</v>
      </c>
      <c r="B269" s="122">
        <v>905</v>
      </c>
      <c r="C269" s="105" t="s">
        <v>124</v>
      </c>
      <c r="D269" s="105" t="s">
        <v>129</v>
      </c>
      <c r="E269" s="91" t="s">
        <v>156</v>
      </c>
      <c r="F269" s="91" t="s">
        <v>51</v>
      </c>
      <c r="G269" s="74">
        <f>G270</f>
        <v>0</v>
      </c>
      <c r="H269" s="74">
        <f>H270</f>
        <v>0</v>
      </c>
      <c r="I269" s="102"/>
    </row>
    <row r="270" spans="1:54" ht="37.5" hidden="1" x14ac:dyDescent="0.3">
      <c r="A270" s="124" t="s">
        <v>433</v>
      </c>
      <c r="B270" s="122">
        <v>905</v>
      </c>
      <c r="C270" s="105" t="s">
        <v>124</v>
      </c>
      <c r="D270" s="105" t="s">
        <v>129</v>
      </c>
      <c r="E270" s="91" t="s">
        <v>156</v>
      </c>
      <c r="F270" s="91" t="s">
        <v>60</v>
      </c>
      <c r="G270" s="74">
        <v>0</v>
      </c>
      <c r="H270" s="74">
        <v>0</v>
      </c>
      <c r="I270" s="102"/>
      <c r="U270" s="100">
        <v>1</v>
      </c>
    </row>
    <row r="271" spans="1:54" ht="56.25" hidden="1" x14ac:dyDescent="0.3">
      <c r="A271" s="121" t="s">
        <v>0</v>
      </c>
      <c r="B271" s="122">
        <v>905</v>
      </c>
      <c r="C271" s="105" t="s">
        <v>124</v>
      </c>
      <c r="D271" s="105" t="s">
        <v>129</v>
      </c>
      <c r="E271" s="123" t="s">
        <v>93</v>
      </c>
      <c r="F271" s="91" t="s">
        <v>51</v>
      </c>
      <c r="G271" s="74">
        <f t="shared" ref="G271:H273" si="8">G272</f>
        <v>0</v>
      </c>
      <c r="H271" s="74">
        <f t="shared" si="8"/>
        <v>0</v>
      </c>
      <c r="I271" s="102"/>
    </row>
    <row r="272" spans="1:54" ht="75" hidden="1" x14ac:dyDescent="0.3">
      <c r="A272" s="121" t="s">
        <v>2</v>
      </c>
      <c r="B272" s="122">
        <v>905</v>
      </c>
      <c r="C272" s="105" t="s">
        <v>124</v>
      </c>
      <c r="D272" s="105" t="s">
        <v>129</v>
      </c>
      <c r="E272" s="123" t="s">
        <v>26</v>
      </c>
      <c r="F272" s="91" t="s">
        <v>51</v>
      </c>
      <c r="G272" s="74">
        <f t="shared" si="8"/>
        <v>0</v>
      </c>
      <c r="H272" s="74">
        <f t="shared" si="8"/>
        <v>0</v>
      </c>
      <c r="I272" s="102"/>
    </row>
    <row r="273" spans="1:54" ht="75" hidden="1" x14ac:dyDescent="0.3">
      <c r="A273" s="124" t="s">
        <v>174</v>
      </c>
      <c r="B273" s="122">
        <v>905</v>
      </c>
      <c r="C273" s="105" t="s">
        <v>124</v>
      </c>
      <c r="D273" s="105" t="s">
        <v>129</v>
      </c>
      <c r="E273" s="91" t="s">
        <v>179</v>
      </c>
      <c r="F273" s="91" t="s">
        <v>51</v>
      </c>
      <c r="G273" s="74">
        <f t="shared" si="8"/>
        <v>0</v>
      </c>
      <c r="H273" s="74">
        <f t="shared" si="8"/>
        <v>0</v>
      </c>
      <c r="I273" s="102"/>
    </row>
    <row r="274" spans="1:54" ht="93.75" hidden="1" x14ac:dyDescent="0.3">
      <c r="A274" s="124" t="s">
        <v>180</v>
      </c>
      <c r="B274" s="122">
        <v>905</v>
      </c>
      <c r="C274" s="105" t="s">
        <v>124</v>
      </c>
      <c r="D274" s="105" t="s">
        <v>129</v>
      </c>
      <c r="E274" s="91" t="s">
        <v>181</v>
      </c>
      <c r="F274" s="91" t="s">
        <v>51</v>
      </c>
      <c r="G274" s="74">
        <f>G275+G276</f>
        <v>0</v>
      </c>
      <c r="H274" s="74">
        <f>H275+H276</f>
        <v>0</v>
      </c>
      <c r="I274" s="102"/>
    </row>
    <row r="275" spans="1:54" ht="93.75" hidden="1" x14ac:dyDescent="0.3">
      <c r="A275" s="124" t="s">
        <v>57</v>
      </c>
      <c r="B275" s="122">
        <v>905</v>
      </c>
      <c r="C275" s="105" t="s">
        <v>124</v>
      </c>
      <c r="D275" s="105" t="s">
        <v>129</v>
      </c>
      <c r="E275" s="91" t="s">
        <v>181</v>
      </c>
      <c r="F275" s="91" t="s">
        <v>58</v>
      </c>
      <c r="G275" s="74">
        <v>0</v>
      </c>
      <c r="H275" s="74">
        <v>0</v>
      </c>
      <c r="I275" s="102"/>
      <c r="AI275" s="100">
        <v>85.4</v>
      </c>
      <c r="AL275" s="102">
        <v>85.4</v>
      </c>
      <c r="AM275" s="102">
        <v>85.4</v>
      </c>
      <c r="AS275" s="134">
        <v>76</v>
      </c>
      <c r="AU275" s="134">
        <v>76</v>
      </c>
    </row>
    <row r="276" spans="1:54" ht="37.5" hidden="1" x14ac:dyDescent="0.3">
      <c r="A276" s="124" t="s">
        <v>433</v>
      </c>
      <c r="B276" s="122">
        <v>905</v>
      </c>
      <c r="C276" s="105" t="s">
        <v>124</v>
      </c>
      <c r="D276" s="105" t="s">
        <v>129</v>
      </c>
      <c r="E276" s="91" t="s">
        <v>181</v>
      </c>
      <c r="F276" s="91" t="s">
        <v>60</v>
      </c>
      <c r="G276" s="74">
        <v>0</v>
      </c>
      <c r="H276" s="74">
        <v>0</v>
      </c>
      <c r="I276" s="102"/>
      <c r="AI276" s="100">
        <v>14.6</v>
      </c>
      <c r="AL276" s="102">
        <v>14.6</v>
      </c>
      <c r="AM276" s="102">
        <v>14.6</v>
      </c>
      <c r="AS276" s="134">
        <v>13</v>
      </c>
      <c r="AU276" s="134">
        <v>13</v>
      </c>
    </row>
    <row r="277" spans="1:54" x14ac:dyDescent="0.3">
      <c r="A277" s="119" t="s">
        <v>130</v>
      </c>
      <c r="B277" s="118">
        <v>905</v>
      </c>
      <c r="C277" s="120" t="s">
        <v>131</v>
      </c>
      <c r="D277" s="120" t="s">
        <v>113</v>
      </c>
      <c r="E277" s="118" t="s">
        <v>50</v>
      </c>
      <c r="F277" s="114" t="s">
        <v>51</v>
      </c>
      <c r="G277" s="93">
        <f t="shared" ref="G277:H280" si="9">G278</f>
        <v>14135.5</v>
      </c>
      <c r="H277" s="93">
        <f t="shared" si="9"/>
        <v>14135.5</v>
      </c>
      <c r="I277" s="102"/>
    </row>
    <row r="278" spans="1:54" ht="37.5" x14ac:dyDescent="0.3">
      <c r="A278" s="119" t="s">
        <v>132</v>
      </c>
      <c r="B278" s="118">
        <v>905</v>
      </c>
      <c r="C278" s="120" t="s">
        <v>131</v>
      </c>
      <c r="D278" s="120" t="s">
        <v>122</v>
      </c>
      <c r="E278" s="118" t="s">
        <v>50</v>
      </c>
      <c r="F278" s="114" t="s">
        <v>51</v>
      </c>
      <c r="G278" s="93">
        <f t="shared" si="9"/>
        <v>14135.5</v>
      </c>
      <c r="H278" s="93">
        <f t="shared" si="9"/>
        <v>14135.5</v>
      </c>
      <c r="I278" s="102"/>
    </row>
    <row r="279" spans="1:54" ht="42.75" customHeight="1" x14ac:dyDescent="0.3">
      <c r="A279" s="124" t="s">
        <v>38</v>
      </c>
      <c r="B279" s="122">
        <v>905</v>
      </c>
      <c r="C279" s="105" t="s">
        <v>131</v>
      </c>
      <c r="D279" s="105" t="s">
        <v>122</v>
      </c>
      <c r="E279" s="123" t="s">
        <v>406</v>
      </c>
      <c r="F279" s="91" t="s">
        <v>51</v>
      </c>
      <c r="G279" s="74">
        <f t="shared" si="9"/>
        <v>14135.5</v>
      </c>
      <c r="H279" s="74">
        <f t="shared" si="9"/>
        <v>14135.5</v>
      </c>
      <c r="I279" s="102"/>
    </row>
    <row r="280" spans="1:54" ht="56.25" x14ac:dyDescent="0.3">
      <c r="A280" s="124" t="s">
        <v>139</v>
      </c>
      <c r="B280" s="122">
        <v>905</v>
      </c>
      <c r="C280" s="105" t="s">
        <v>131</v>
      </c>
      <c r="D280" s="105" t="s">
        <v>122</v>
      </c>
      <c r="E280" s="123" t="s">
        <v>52</v>
      </c>
      <c r="F280" s="91" t="s">
        <v>51</v>
      </c>
      <c r="G280" s="74">
        <f t="shared" si="9"/>
        <v>14135.5</v>
      </c>
      <c r="H280" s="74">
        <f t="shared" si="9"/>
        <v>14135.5</v>
      </c>
      <c r="I280" s="102"/>
    </row>
    <row r="281" spans="1:54" ht="37.5" x14ac:dyDescent="0.3">
      <c r="A281" s="124" t="s">
        <v>53</v>
      </c>
      <c r="B281" s="122">
        <v>905</v>
      </c>
      <c r="C281" s="105" t="s">
        <v>131</v>
      </c>
      <c r="D281" s="105" t="s">
        <v>122</v>
      </c>
      <c r="E281" s="123" t="s">
        <v>54</v>
      </c>
      <c r="F281" s="91" t="s">
        <v>51</v>
      </c>
      <c r="G281" s="74">
        <f>G282+G284</f>
        <v>14135.5</v>
      </c>
      <c r="H281" s="74">
        <f>H282+H284</f>
        <v>14135.5</v>
      </c>
      <c r="I281" s="102"/>
    </row>
    <row r="282" spans="1:54" x14ac:dyDescent="0.3">
      <c r="A282" s="124" t="s">
        <v>83</v>
      </c>
      <c r="B282" s="122">
        <v>905</v>
      </c>
      <c r="C282" s="105" t="s">
        <v>131</v>
      </c>
      <c r="D282" s="105" t="s">
        <v>122</v>
      </c>
      <c r="E282" s="91" t="s">
        <v>44</v>
      </c>
      <c r="F282" s="91" t="s">
        <v>51</v>
      </c>
      <c r="G282" s="74">
        <f>G283</f>
        <v>14135.5</v>
      </c>
      <c r="H282" s="74">
        <f>H283</f>
        <v>14135.5</v>
      </c>
      <c r="I282" s="102"/>
    </row>
    <row r="283" spans="1:54" ht="93.75" x14ac:dyDescent="0.3">
      <c r="A283" s="124" t="s">
        <v>57</v>
      </c>
      <c r="B283" s="122">
        <v>905</v>
      </c>
      <c r="C283" s="105" t="s">
        <v>131</v>
      </c>
      <c r="D283" s="105" t="s">
        <v>122</v>
      </c>
      <c r="E283" s="91" t="s">
        <v>44</v>
      </c>
      <c r="F283" s="91" t="s">
        <v>58</v>
      </c>
      <c r="G283" s="74">
        <v>14135.5</v>
      </c>
      <c r="H283" s="74">
        <v>14135.5</v>
      </c>
      <c r="I283" s="102"/>
      <c r="AI283" s="100">
        <v>6286.2</v>
      </c>
      <c r="AL283" s="102">
        <v>6286.2</v>
      </c>
      <c r="AM283" s="102">
        <v>6286.2</v>
      </c>
      <c r="AR283" s="101">
        <v>11296.8</v>
      </c>
      <c r="AT283" s="101">
        <v>11296.8</v>
      </c>
      <c r="BA283" s="227">
        <v>11753.5</v>
      </c>
      <c r="BB283" s="223">
        <v>11753.5</v>
      </c>
    </row>
    <row r="284" spans="1:54" ht="37.5" hidden="1" x14ac:dyDescent="0.3">
      <c r="A284" s="125" t="s">
        <v>377</v>
      </c>
      <c r="B284" s="122">
        <v>905</v>
      </c>
      <c r="C284" s="105" t="s">
        <v>131</v>
      </c>
      <c r="D284" s="105" t="s">
        <v>122</v>
      </c>
      <c r="E284" s="91" t="s">
        <v>516</v>
      </c>
      <c r="F284" s="91" t="s">
        <v>51</v>
      </c>
      <c r="G284" s="74">
        <f>G285</f>
        <v>0</v>
      </c>
      <c r="H284" s="74">
        <f>H285</f>
        <v>0</v>
      </c>
      <c r="I284" s="102"/>
    </row>
    <row r="285" spans="1:54" ht="93.75" hidden="1" x14ac:dyDescent="0.3">
      <c r="A285" s="124" t="s">
        <v>57</v>
      </c>
      <c r="B285" s="122">
        <v>905</v>
      </c>
      <c r="C285" s="105" t="s">
        <v>131</v>
      </c>
      <c r="D285" s="105" t="s">
        <v>122</v>
      </c>
      <c r="E285" s="91" t="s">
        <v>516</v>
      </c>
      <c r="F285" s="91" t="s">
        <v>58</v>
      </c>
      <c r="G285" s="74">
        <v>0</v>
      </c>
      <c r="H285" s="74">
        <v>0</v>
      </c>
      <c r="I285" s="102"/>
      <c r="AE285" s="100">
        <v>71.2</v>
      </c>
      <c r="AI285" s="100">
        <v>0</v>
      </c>
    </row>
    <row r="286" spans="1:54" x14ac:dyDescent="0.3">
      <c r="A286" s="119" t="s">
        <v>167</v>
      </c>
      <c r="B286" s="118">
        <v>905</v>
      </c>
      <c r="C286" s="120">
        <v>10</v>
      </c>
      <c r="D286" s="120" t="s">
        <v>113</v>
      </c>
      <c r="E286" s="118" t="s">
        <v>50</v>
      </c>
      <c r="F286" s="114" t="s">
        <v>51</v>
      </c>
      <c r="G286" s="93">
        <f>G287+G294</f>
        <v>19131</v>
      </c>
      <c r="H286" s="93">
        <f>H287+H294</f>
        <v>19131</v>
      </c>
      <c r="I286" s="102"/>
    </row>
    <row r="287" spans="1:54" hidden="1" x14ac:dyDescent="0.3">
      <c r="A287" s="119" t="s">
        <v>168</v>
      </c>
      <c r="B287" s="118">
        <v>905</v>
      </c>
      <c r="C287" s="120">
        <v>10</v>
      </c>
      <c r="D287" s="120" t="s">
        <v>118</v>
      </c>
      <c r="E287" s="118" t="s">
        <v>50</v>
      </c>
      <c r="F287" s="114" t="s">
        <v>51</v>
      </c>
      <c r="G287" s="93">
        <f t="shared" ref="G287:H289" si="10">G288</f>
        <v>0</v>
      </c>
      <c r="H287" s="93">
        <f t="shared" si="10"/>
        <v>0</v>
      </c>
      <c r="I287" s="102"/>
    </row>
    <row r="288" spans="1:54" ht="59.25" hidden="1" customHeight="1" x14ac:dyDescent="0.3">
      <c r="A288" s="121" t="s">
        <v>0</v>
      </c>
      <c r="B288" s="122">
        <v>905</v>
      </c>
      <c r="C288" s="105">
        <v>10</v>
      </c>
      <c r="D288" s="105" t="s">
        <v>118</v>
      </c>
      <c r="E288" s="123" t="s">
        <v>93</v>
      </c>
      <c r="F288" s="91" t="s">
        <v>51</v>
      </c>
      <c r="G288" s="74">
        <f t="shared" si="10"/>
        <v>0</v>
      </c>
      <c r="H288" s="74">
        <f t="shared" si="10"/>
        <v>0</v>
      </c>
      <c r="I288" s="102"/>
    </row>
    <row r="289" spans="1:39" ht="80.25" hidden="1" customHeight="1" x14ac:dyDescent="0.3">
      <c r="A289" s="121" t="s">
        <v>2</v>
      </c>
      <c r="B289" s="122">
        <v>905</v>
      </c>
      <c r="C289" s="105">
        <v>10</v>
      </c>
      <c r="D289" s="105" t="s">
        <v>118</v>
      </c>
      <c r="E289" s="123" t="s">
        <v>26</v>
      </c>
      <c r="F289" s="91" t="s">
        <v>51</v>
      </c>
      <c r="G289" s="74">
        <f t="shared" si="10"/>
        <v>0</v>
      </c>
      <c r="H289" s="74">
        <f t="shared" si="10"/>
        <v>0</v>
      </c>
      <c r="I289" s="102"/>
    </row>
    <row r="290" spans="1:39" ht="37.5" hidden="1" x14ac:dyDescent="0.3">
      <c r="A290" s="124" t="s">
        <v>169</v>
      </c>
      <c r="B290" s="122">
        <v>905</v>
      </c>
      <c r="C290" s="91" t="s">
        <v>170</v>
      </c>
      <c r="D290" s="105" t="s">
        <v>118</v>
      </c>
      <c r="E290" s="123" t="s">
        <v>171</v>
      </c>
      <c r="F290" s="91" t="s">
        <v>51</v>
      </c>
      <c r="G290" s="74">
        <f>G291+G292+G293</f>
        <v>0</v>
      </c>
      <c r="H290" s="74">
        <f>H291+H292+H293</f>
        <v>0</v>
      </c>
      <c r="I290" s="102"/>
    </row>
    <row r="291" spans="1:39" ht="37.5" hidden="1" x14ac:dyDescent="0.3">
      <c r="A291" s="124" t="s">
        <v>433</v>
      </c>
      <c r="B291" s="122">
        <v>905</v>
      </c>
      <c r="C291" s="91" t="s">
        <v>170</v>
      </c>
      <c r="D291" s="105" t="s">
        <v>118</v>
      </c>
      <c r="E291" s="123" t="s">
        <v>171</v>
      </c>
      <c r="F291" s="91" t="s">
        <v>60</v>
      </c>
      <c r="G291" s="74">
        <v>0</v>
      </c>
      <c r="H291" s="74">
        <v>0</v>
      </c>
      <c r="I291" s="102"/>
      <c r="K291" s="100">
        <v>1859</v>
      </c>
      <c r="S291" s="100">
        <v>-2.2999999999999998</v>
      </c>
      <c r="AA291" s="100">
        <v>500</v>
      </c>
      <c r="AF291" s="100">
        <v>234</v>
      </c>
      <c r="AI291" s="100">
        <v>1288.5</v>
      </c>
      <c r="AL291" s="102">
        <v>0</v>
      </c>
      <c r="AM291" s="102">
        <v>0</v>
      </c>
    </row>
    <row r="292" spans="1:39" ht="30.75" hidden="1" customHeight="1" x14ac:dyDescent="0.3">
      <c r="A292" s="124" t="s">
        <v>176</v>
      </c>
      <c r="B292" s="122">
        <v>905</v>
      </c>
      <c r="C292" s="91" t="s">
        <v>170</v>
      </c>
      <c r="D292" s="105" t="s">
        <v>118</v>
      </c>
      <c r="E292" s="123" t="s">
        <v>171</v>
      </c>
      <c r="F292" s="91" t="s">
        <v>177</v>
      </c>
      <c r="G292" s="74">
        <v>0</v>
      </c>
      <c r="H292" s="74">
        <v>0</v>
      </c>
      <c r="I292" s="102"/>
      <c r="S292" s="100">
        <v>2.2999999999999998</v>
      </c>
      <c r="AI292" s="100">
        <v>0</v>
      </c>
    </row>
    <row r="293" spans="1:39" ht="52.5" hidden="1" customHeight="1" x14ac:dyDescent="0.3">
      <c r="A293" s="124" t="s">
        <v>267</v>
      </c>
      <c r="B293" s="122">
        <v>905</v>
      </c>
      <c r="C293" s="91" t="s">
        <v>170</v>
      </c>
      <c r="D293" s="105" t="s">
        <v>118</v>
      </c>
      <c r="E293" s="123" t="s">
        <v>171</v>
      </c>
      <c r="F293" s="91" t="s">
        <v>264</v>
      </c>
      <c r="G293" s="74">
        <v>0</v>
      </c>
      <c r="H293" s="74">
        <v>0</v>
      </c>
      <c r="I293" s="102"/>
      <c r="J293" s="100">
        <v>70.5</v>
      </c>
      <c r="K293" s="100">
        <v>141</v>
      </c>
      <c r="AI293" s="100">
        <v>211.5</v>
      </c>
      <c r="AL293" s="102">
        <v>0</v>
      </c>
      <c r="AM293" s="102">
        <v>0</v>
      </c>
    </row>
    <row r="294" spans="1:39" x14ac:dyDescent="0.3">
      <c r="A294" s="119" t="s">
        <v>172</v>
      </c>
      <c r="B294" s="118">
        <v>905</v>
      </c>
      <c r="C294" s="120">
        <v>10</v>
      </c>
      <c r="D294" s="120" t="s">
        <v>122</v>
      </c>
      <c r="E294" s="118" t="s">
        <v>50</v>
      </c>
      <c r="F294" s="114" t="s">
        <v>51</v>
      </c>
      <c r="G294" s="93">
        <f>G295+G314</f>
        <v>19131</v>
      </c>
      <c r="H294" s="93">
        <f>H295+H314</f>
        <v>19131</v>
      </c>
      <c r="I294" s="102"/>
    </row>
    <row r="295" spans="1:39" ht="42.75" hidden="1" customHeight="1" x14ac:dyDescent="0.3">
      <c r="A295" s="124" t="s">
        <v>38</v>
      </c>
      <c r="B295" s="122">
        <v>905</v>
      </c>
      <c r="C295" s="91" t="s">
        <v>170</v>
      </c>
      <c r="D295" s="105" t="s">
        <v>122</v>
      </c>
      <c r="E295" s="123" t="s">
        <v>406</v>
      </c>
      <c r="F295" s="123" t="s">
        <v>51</v>
      </c>
      <c r="G295" s="74">
        <f>G296+G310</f>
        <v>0</v>
      </c>
      <c r="H295" s="74">
        <f>H296+H310</f>
        <v>0</v>
      </c>
      <c r="I295" s="102"/>
    </row>
    <row r="296" spans="1:39" ht="56.25" hidden="1" x14ac:dyDescent="0.3">
      <c r="A296" s="124" t="s">
        <v>139</v>
      </c>
      <c r="B296" s="122">
        <v>905</v>
      </c>
      <c r="C296" s="91" t="s">
        <v>170</v>
      </c>
      <c r="D296" s="105" t="s">
        <v>122</v>
      </c>
      <c r="E296" s="123" t="s">
        <v>52</v>
      </c>
      <c r="F296" s="123" t="s">
        <v>51</v>
      </c>
      <c r="G296" s="74">
        <f>G297+G302+G305</f>
        <v>0</v>
      </c>
      <c r="H296" s="74">
        <f>H297+H302+H305</f>
        <v>0</v>
      </c>
      <c r="I296" s="102"/>
    </row>
    <row r="297" spans="1:39" ht="37.5" hidden="1" x14ac:dyDescent="0.3">
      <c r="A297" s="124" t="s">
        <v>53</v>
      </c>
      <c r="B297" s="122">
        <v>905</v>
      </c>
      <c r="C297" s="91" t="s">
        <v>170</v>
      </c>
      <c r="D297" s="105" t="s">
        <v>122</v>
      </c>
      <c r="E297" s="91" t="s">
        <v>54</v>
      </c>
      <c r="F297" s="91" t="s">
        <v>51</v>
      </c>
      <c r="G297" s="74">
        <f>G298+G300</f>
        <v>0</v>
      </c>
      <c r="H297" s="74">
        <f>H298+H300</f>
        <v>0</v>
      </c>
      <c r="I297" s="102"/>
    </row>
    <row r="298" spans="1:39" hidden="1" x14ac:dyDescent="0.3">
      <c r="A298" s="124" t="s">
        <v>55</v>
      </c>
      <c r="B298" s="122">
        <v>905</v>
      </c>
      <c r="C298" s="91" t="s">
        <v>170</v>
      </c>
      <c r="D298" s="105" t="s">
        <v>122</v>
      </c>
      <c r="E298" s="91" t="s">
        <v>56</v>
      </c>
      <c r="F298" s="91" t="s">
        <v>51</v>
      </c>
      <c r="G298" s="74">
        <f>G299</f>
        <v>0</v>
      </c>
      <c r="H298" s="74">
        <f>H299</f>
        <v>0</v>
      </c>
      <c r="I298" s="102"/>
    </row>
    <row r="299" spans="1:39" ht="93.75" hidden="1" x14ac:dyDescent="0.3">
      <c r="A299" s="124" t="s">
        <v>57</v>
      </c>
      <c r="B299" s="122">
        <v>905</v>
      </c>
      <c r="C299" s="91" t="s">
        <v>170</v>
      </c>
      <c r="D299" s="105" t="s">
        <v>122</v>
      </c>
      <c r="E299" s="91" t="s">
        <v>56</v>
      </c>
      <c r="F299" s="91" t="s">
        <v>58</v>
      </c>
      <c r="G299" s="74">
        <v>0</v>
      </c>
      <c r="H299" s="74">
        <v>0</v>
      </c>
      <c r="I299" s="102"/>
      <c r="AI299" s="100">
        <v>1.4</v>
      </c>
      <c r="AL299" s="102">
        <v>0</v>
      </c>
      <c r="AM299" s="102">
        <v>0</v>
      </c>
    </row>
    <row r="300" spans="1:39" hidden="1" x14ac:dyDescent="0.3">
      <c r="A300" s="124" t="s">
        <v>83</v>
      </c>
      <c r="B300" s="122">
        <v>905</v>
      </c>
      <c r="C300" s="91" t="s">
        <v>170</v>
      </c>
      <c r="D300" s="105" t="s">
        <v>122</v>
      </c>
      <c r="E300" s="91" t="s">
        <v>44</v>
      </c>
      <c r="F300" s="91" t="s">
        <v>51</v>
      </c>
      <c r="G300" s="74">
        <f>G301</f>
        <v>0</v>
      </c>
      <c r="H300" s="74">
        <f>H301</f>
        <v>0</v>
      </c>
      <c r="I300" s="102"/>
    </row>
    <row r="301" spans="1:39" ht="93.75" hidden="1" x14ac:dyDescent="0.3">
      <c r="A301" s="124" t="s">
        <v>57</v>
      </c>
      <c r="B301" s="122">
        <v>905</v>
      </c>
      <c r="C301" s="91" t="s">
        <v>170</v>
      </c>
      <c r="D301" s="105" t="s">
        <v>122</v>
      </c>
      <c r="E301" s="91" t="s">
        <v>44</v>
      </c>
      <c r="F301" s="91" t="s">
        <v>58</v>
      </c>
      <c r="G301" s="74">
        <v>0</v>
      </c>
      <c r="H301" s="74">
        <v>0</v>
      </c>
      <c r="I301" s="102"/>
      <c r="AI301" s="100">
        <v>0.7</v>
      </c>
      <c r="AL301" s="102">
        <v>0</v>
      </c>
      <c r="AM301" s="102">
        <v>0</v>
      </c>
    </row>
    <row r="302" spans="1:39" hidden="1" x14ac:dyDescent="0.3">
      <c r="A302" s="124" t="s">
        <v>63</v>
      </c>
      <c r="B302" s="122">
        <v>905</v>
      </c>
      <c r="C302" s="91" t="s">
        <v>170</v>
      </c>
      <c r="D302" s="105" t="s">
        <v>122</v>
      </c>
      <c r="E302" s="91" t="s">
        <v>64</v>
      </c>
      <c r="F302" s="91" t="s">
        <v>51</v>
      </c>
      <c r="G302" s="74">
        <f>G303</f>
        <v>0</v>
      </c>
      <c r="H302" s="74">
        <f>H303</f>
        <v>0</v>
      </c>
      <c r="I302" s="102"/>
    </row>
    <row r="303" spans="1:39" hidden="1" x14ac:dyDescent="0.3">
      <c r="A303" s="124" t="s">
        <v>67</v>
      </c>
      <c r="B303" s="122">
        <v>905</v>
      </c>
      <c r="C303" s="91" t="s">
        <v>170</v>
      </c>
      <c r="D303" s="105" t="s">
        <v>122</v>
      </c>
      <c r="E303" s="91" t="s">
        <v>68</v>
      </c>
      <c r="F303" s="91" t="s">
        <v>51</v>
      </c>
      <c r="G303" s="74">
        <f>G304</f>
        <v>0</v>
      </c>
      <c r="H303" s="74">
        <f>H304</f>
        <v>0</v>
      </c>
      <c r="I303" s="102"/>
    </row>
    <row r="304" spans="1:39" ht="93.75" hidden="1" x14ac:dyDescent="0.3">
      <c r="A304" s="124" t="s">
        <v>57</v>
      </c>
      <c r="B304" s="122">
        <v>905</v>
      </c>
      <c r="C304" s="91" t="s">
        <v>170</v>
      </c>
      <c r="D304" s="105" t="s">
        <v>122</v>
      </c>
      <c r="E304" s="91" t="s">
        <v>68</v>
      </c>
      <c r="F304" s="91" t="s">
        <v>58</v>
      </c>
      <c r="G304" s="74">
        <v>0</v>
      </c>
      <c r="H304" s="74">
        <v>0</v>
      </c>
      <c r="I304" s="102"/>
    </row>
    <row r="305" spans="1:56" ht="37.5" hidden="1" x14ac:dyDescent="0.3">
      <c r="A305" s="124" t="s">
        <v>69</v>
      </c>
      <c r="B305" s="122">
        <v>905</v>
      </c>
      <c r="C305" s="91" t="s">
        <v>170</v>
      </c>
      <c r="D305" s="105" t="s">
        <v>122</v>
      </c>
      <c r="E305" s="91" t="s">
        <v>70</v>
      </c>
      <c r="F305" s="91" t="s">
        <v>51</v>
      </c>
      <c r="G305" s="74">
        <f>G306+G308</f>
        <v>0</v>
      </c>
      <c r="H305" s="74">
        <f>H306+H308</f>
        <v>0</v>
      </c>
      <c r="I305" s="102"/>
    </row>
    <row r="306" spans="1:56" ht="93.75" hidden="1" customHeight="1" x14ac:dyDescent="0.3">
      <c r="A306" s="124" t="s">
        <v>77</v>
      </c>
      <c r="B306" s="122">
        <v>905</v>
      </c>
      <c r="C306" s="91" t="s">
        <v>170</v>
      </c>
      <c r="D306" s="105" t="s">
        <v>122</v>
      </c>
      <c r="E306" s="91" t="s">
        <v>41</v>
      </c>
      <c r="F306" s="91" t="s">
        <v>51</v>
      </c>
      <c r="G306" s="74">
        <f>G307</f>
        <v>0</v>
      </c>
      <c r="H306" s="74">
        <f>H307</f>
        <v>0</v>
      </c>
      <c r="I306" s="102"/>
    </row>
    <row r="307" spans="1:56" ht="93.75" hidden="1" x14ac:dyDescent="0.3">
      <c r="A307" s="124" t="s">
        <v>57</v>
      </c>
      <c r="B307" s="122">
        <v>905</v>
      </c>
      <c r="C307" s="91" t="s">
        <v>170</v>
      </c>
      <c r="D307" s="105" t="s">
        <v>122</v>
      </c>
      <c r="E307" s="91" t="s">
        <v>41</v>
      </c>
      <c r="F307" s="91" t="s">
        <v>58</v>
      </c>
      <c r="G307" s="74">
        <v>0</v>
      </c>
      <c r="H307" s="74">
        <v>0</v>
      </c>
      <c r="I307" s="102"/>
      <c r="AI307" s="100">
        <v>0.7</v>
      </c>
      <c r="AL307" s="102">
        <v>0</v>
      </c>
      <c r="AM307" s="102">
        <v>0</v>
      </c>
    </row>
    <row r="308" spans="1:56" ht="75" hidden="1" x14ac:dyDescent="0.3">
      <c r="A308" s="124" t="s">
        <v>71</v>
      </c>
      <c r="B308" s="122">
        <v>905</v>
      </c>
      <c r="C308" s="91" t="s">
        <v>170</v>
      </c>
      <c r="D308" s="105" t="s">
        <v>122</v>
      </c>
      <c r="E308" s="91" t="s">
        <v>72</v>
      </c>
      <c r="F308" s="91" t="s">
        <v>51</v>
      </c>
      <c r="G308" s="74">
        <f>G309</f>
        <v>0</v>
      </c>
      <c r="H308" s="74">
        <f>H309</f>
        <v>0</v>
      </c>
      <c r="I308" s="102"/>
    </row>
    <row r="309" spans="1:56" ht="93.75" hidden="1" x14ac:dyDescent="0.3">
      <c r="A309" s="124" t="s">
        <v>57</v>
      </c>
      <c r="B309" s="122">
        <v>905</v>
      </c>
      <c r="C309" s="91" t="s">
        <v>170</v>
      </c>
      <c r="D309" s="105" t="s">
        <v>122</v>
      </c>
      <c r="E309" s="91" t="s">
        <v>72</v>
      </c>
      <c r="F309" s="91" t="s">
        <v>58</v>
      </c>
      <c r="G309" s="74">
        <v>0</v>
      </c>
      <c r="H309" s="74">
        <v>0</v>
      </c>
      <c r="I309" s="102"/>
      <c r="AI309" s="100">
        <v>0</v>
      </c>
    </row>
    <row r="310" spans="1:56" ht="37.5" hidden="1" x14ac:dyDescent="0.3">
      <c r="A310" s="125" t="s">
        <v>140</v>
      </c>
      <c r="B310" s="122">
        <v>905</v>
      </c>
      <c r="C310" s="91" t="s">
        <v>170</v>
      </c>
      <c r="D310" s="105" t="s">
        <v>122</v>
      </c>
      <c r="E310" s="123" t="s">
        <v>73</v>
      </c>
      <c r="F310" s="123" t="s">
        <v>51</v>
      </c>
      <c r="G310" s="74">
        <f t="shared" ref="G310:H312" si="11">G311</f>
        <v>0</v>
      </c>
      <c r="H310" s="74">
        <f t="shared" si="11"/>
        <v>0</v>
      </c>
      <c r="I310" s="102"/>
    </row>
    <row r="311" spans="1:56" ht="37.5" hidden="1" x14ac:dyDescent="0.3">
      <c r="A311" s="124" t="s">
        <v>53</v>
      </c>
      <c r="B311" s="122">
        <v>905</v>
      </c>
      <c r="C311" s="91" t="s">
        <v>170</v>
      </c>
      <c r="D311" s="105" t="s">
        <v>122</v>
      </c>
      <c r="E311" s="123" t="s">
        <v>151</v>
      </c>
      <c r="F311" s="123" t="s">
        <v>51</v>
      </c>
      <c r="G311" s="74">
        <f t="shared" si="11"/>
        <v>0</v>
      </c>
      <c r="H311" s="74">
        <f t="shared" si="11"/>
        <v>0</v>
      </c>
      <c r="I311" s="102"/>
    </row>
    <row r="312" spans="1:56" hidden="1" x14ac:dyDescent="0.3">
      <c r="A312" s="124" t="s">
        <v>79</v>
      </c>
      <c r="B312" s="122">
        <v>905</v>
      </c>
      <c r="C312" s="91" t="s">
        <v>170</v>
      </c>
      <c r="D312" s="105" t="s">
        <v>122</v>
      </c>
      <c r="E312" s="123" t="s">
        <v>152</v>
      </c>
      <c r="F312" s="123" t="s">
        <v>51</v>
      </c>
      <c r="G312" s="74">
        <f t="shared" si="11"/>
        <v>0</v>
      </c>
      <c r="H312" s="74">
        <f t="shared" si="11"/>
        <v>0</v>
      </c>
      <c r="I312" s="102"/>
    </row>
    <row r="313" spans="1:56" ht="93.75" hidden="1" x14ac:dyDescent="0.3">
      <c r="A313" s="124" t="s">
        <v>57</v>
      </c>
      <c r="B313" s="122">
        <v>905</v>
      </c>
      <c r="C313" s="91" t="s">
        <v>170</v>
      </c>
      <c r="D313" s="105" t="s">
        <v>122</v>
      </c>
      <c r="E313" s="123" t="s">
        <v>152</v>
      </c>
      <c r="F313" s="123" t="s">
        <v>58</v>
      </c>
      <c r="G313" s="74">
        <v>0</v>
      </c>
      <c r="H313" s="74">
        <v>0</v>
      </c>
      <c r="I313" s="102"/>
    </row>
    <row r="314" spans="1:56" ht="56.25" x14ac:dyDescent="0.3">
      <c r="A314" s="121" t="s">
        <v>0</v>
      </c>
      <c r="B314" s="122">
        <v>905</v>
      </c>
      <c r="C314" s="105" t="s">
        <v>170</v>
      </c>
      <c r="D314" s="105" t="s">
        <v>122</v>
      </c>
      <c r="E314" s="123" t="s">
        <v>93</v>
      </c>
      <c r="F314" s="91" t="s">
        <v>51</v>
      </c>
      <c r="G314" s="74">
        <f>G315+G324</f>
        <v>19131</v>
      </c>
      <c r="H314" s="74">
        <f>H315+H324</f>
        <v>19131</v>
      </c>
      <c r="I314" s="102"/>
    </row>
    <row r="315" spans="1:56" ht="82.5" customHeight="1" x14ac:dyDescent="0.3">
      <c r="A315" s="121" t="s">
        <v>2</v>
      </c>
      <c r="B315" s="122">
        <v>905</v>
      </c>
      <c r="C315" s="105">
        <v>10</v>
      </c>
      <c r="D315" s="105" t="s">
        <v>122</v>
      </c>
      <c r="E315" s="123" t="s">
        <v>26</v>
      </c>
      <c r="F315" s="91" t="s">
        <v>51</v>
      </c>
      <c r="G315" s="74">
        <f>G316</f>
        <v>4137</v>
      </c>
      <c r="H315" s="74">
        <f>H316</f>
        <v>4137</v>
      </c>
      <c r="I315" s="102"/>
    </row>
    <row r="316" spans="1:56" ht="80.25" customHeight="1" x14ac:dyDescent="0.3">
      <c r="A316" s="124" t="s">
        <v>174</v>
      </c>
      <c r="B316" s="122">
        <v>905</v>
      </c>
      <c r="C316" s="105" t="s">
        <v>170</v>
      </c>
      <c r="D316" s="105" t="s">
        <v>122</v>
      </c>
      <c r="E316" s="10" t="s">
        <v>814</v>
      </c>
      <c r="F316" s="91" t="s">
        <v>51</v>
      </c>
      <c r="G316" s="74">
        <f>G317+G321</f>
        <v>4137</v>
      </c>
      <c r="H316" s="74">
        <f>H317+H321</f>
        <v>4137</v>
      </c>
      <c r="I316" s="102"/>
    </row>
    <row r="317" spans="1:56" ht="91.5" customHeight="1" x14ac:dyDescent="0.3">
      <c r="A317" s="124" t="s">
        <v>180</v>
      </c>
      <c r="B317" s="122">
        <v>905</v>
      </c>
      <c r="C317" s="105" t="s">
        <v>170</v>
      </c>
      <c r="D317" s="105" t="s">
        <v>122</v>
      </c>
      <c r="E317" s="10" t="s">
        <v>818</v>
      </c>
      <c r="F317" s="91" t="s">
        <v>51</v>
      </c>
      <c r="G317" s="74">
        <f>G319+G320+G318</f>
        <v>3127</v>
      </c>
      <c r="H317" s="74">
        <f>H319+H320+H318</f>
        <v>3127</v>
      </c>
      <c r="I317" s="102"/>
    </row>
    <row r="318" spans="1:56" ht="97.5" customHeight="1" outlineLevel="1" x14ac:dyDescent="0.3">
      <c r="A318" s="124" t="s">
        <v>57</v>
      </c>
      <c r="B318" s="122">
        <v>905</v>
      </c>
      <c r="C318" s="105" t="s">
        <v>170</v>
      </c>
      <c r="D318" s="105" t="s">
        <v>122</v>
      </c>
      <c r="E318" s="10" t="s">
        <v>818</v>
      </c>
      <c r="F318" s="91" t="s">
        <v>58</v>
      </c>
      <c r="G318" s="74">
        <v>66.7</v>
      </c>
      <c r="H318" s="74">
        <v>66.7</v>
      </c>
      <c r="I318" s="102"/>
      <c r="BC318" s="236">
        <v>79.7</v>
      </c>
      <c r="BD318" s="237">
        <v>79.7</v>
      </c>
    </row>
    <row r="319" spans="1:56" ht="39.75" customHeight="1" x14ac:dyDescent="0.3">
      <c r="A319" s="124" t="s">
        <v>433</v>
      </c>
      <c r="B319" s="122">
        <v>905</v>
      </c>
      <c r="C319" s="105" t="s">
        <v>170</v>
      </c>
      <c r="D319" s="105" t="s">
        <v>122</v>
      </c>
      <c r="E319" s="10" t="s">
        <v>818</v>
      </c>
      <c r="F319" s="91" t="s">
        <v>60</v>
      </c>
      <c r="G319" s="74">
        <v>24.3</v>
      </c>
      <c r="H319" s="243">
        <v>24.3</v>
      </c>
      <c r="I319" s="102"/>
      <c r="AI319" s="100">
        <v>36.4</v>
      </c>
      <c r="AL319" s="102">
        <v>36.4</v>
      </c>
      <c r="AM319" s="102">
        <v>36.4</v>
      </c>
      <c r="AS319" s="134">
        <v>32.4</v>
      </c>
      <c r="AU319" s="134">
        <v>32.4</v>
      </c>
      <c r="BC319" s="236">
        <v>28.9</v>
      </c>
      <c r="BD319" s="237">
        <v>28.9</v>
      </c>
    </row>
    <row r="320" spans="1:56" ht="27" customHeight="1" x14ac:dyDescent="0.3">
      <c r="A320" s="124" t="s">
        <v>176</v>
      </c>
      <c r="B320" s="122">
        <v>905</v>
      </c>
      <c r="C320" s="105" t="s">
        <v>170</v>
      </c>
      <c r="D320" s="105" t="s">
        <v>122</v>
      </c>
      <c r="E320" s="10" t="s">
        <v>818</v>
      </c>
      <c r="F320" s="91" t="s">
        <v>177</v>
      </c>
      <c r="G320" s="74">
        <v>3036</v>
      </c>
      <c r="H320" s="243">
        <v>3036</v>
      </c>
      <c r="I320" s="102"/>
      <c r="AI320" s="100">
        <v>4546.3999999999996</v>
      </c>
      <c r="AL320" s="102">
        <v>4546.3999999999996</v>
      </c>
      <c r="AM320" s="102">
        <v>4546.3999999999996</v>
      </c>
      <c r="AS320" s="134">
        <v>4047.5</v>
      </c>
      <c r="AU320" s="134">
        <v>4047.5</v>
      </c>
      <c r="BC320" s="236">
        <v>3606.4</v>
      </c>
      <c r="BD320" s="237">
        <v>3606.4</v>
      </c>
    </row>
    <row r="321" spans="1:56" ht="172.5" customHeight="1" x14ac:dyDescent="0.3">
      <c r="A321" s="124" t="s">
        <v>856</v>
      </c>
      <c r="B321" s="9">
        <v>905</v>
      </c>
      <c r="C321" s="221" t="s">
        <v>170</v>
      </c>
      <c r="D321" s="221" t="s">
        <v>122</v>
      </c>
      <c r="E321" s="10" t="s">
        <v>857</v>
      </c>
      <c r="F321" s="10" t="s">
        <v>51</v>
      </c>
      <c r="G321" s="74">
        <f>G322+G323</f>
        <v>1010</v>
      </c>
      <c r="H321" s="74">
        <f>H322+H323</f>
        <v>1010</v>
      </c>
      <c r="I321" s="102"/>
      <c r="AS321" s="134"/>
      <c r="AU321" s="134"/>
    </row>
    <row r="322" spans="1:56" ht="45.75" customHeight="1" x14ac:dyDescent="0.3">
      <c r="A322" s="124" t="s">
        <v>433</v>
      </c>
      <c r="B322" s="9">
        <v>905</v>
      </c>
      <c r="C322" s="221" t="s">
        <v>170</v>
      </c>
      <c r="D322" s="221" t="s">
        <v>122</v>
      </c>
      <c r="E322" s="10" t="s">
        <v>857</v>
      </c>
      <c r="F322" s="10" t="s">
        <v>60</v>
      </c>
      <c r="G322" s="74">
        <v>776.9</v>
      </c>
      <c r="H322" s="74">
        <v>776.9</v>
      </c>
      <c r="I322" s="102"/>
      <c r="AS322" s="134"/>
      <c r="AU322" s="134"/>
    </row>
    <row r="323" spans="1:56" ht="45.75" customHeight="1" x14ac:dyDescent="0.3">
      <c r="A323" s="124" t="s">
        <v>267</v>
      </c>
      <c r="B323" s="9">
        <v>905</v>
      </c>
      <c r="C323" s="221" t="s">
        <v>170</v>
      </c>
      <c r="D323" s="221" t="s">
        <v>122</v>
      </c>
      <c r="E323" s="10" t="s">
        <v>857</v>
      </c>
      <c r="F323" s="10" t="s">
        <v>264</v>
      </c>
      <c r="G323" s="74">
        <v>233.1</v>
      </c>
      <c r="H323" s="74">
        <v>233.1</v>
      </c>
      <c r="I323" s="102"/>
      <c r="AS323" s="134"/>
      <c r="AU323" s="134"/>
    </row>
    <row r="324" spans="1:56" ht="55.5" customHeight="1" x14ac:dyDescent="0.3">
      <c r="A324" s="124" t="s">
        <v>173</v>
      </c>
      <c r="B324" s="122">
        <v>905</v>
      </c>
      <c r="C324" s="105" t="s">
        <v>170</v>
      </c>
      <c r="D324" s="105" t="s">
        <v>122</v>
      </c>
      <c r="E324" s="123" t="s">
        <v>95</v>
      </c>
      <c r="F324" s="91" t="s">
        <v>51</v>
      </c>
      <c r="G324" s="74">
        <f>G325</f>
        <v>14994</v>
      </c>
      <c r="H324" s="74">
        <f>H325</f>
        <v>14994</v>
      </c>
      <c r="I324" s="102"/>
    </row>
    <row r="325" spans="1:56" ht="75" x14ac:dyDescent="0.3">
      <c r="A325" s="124" t="s">
        <v>174</v>
      </c>
      <c r="B325" s="122">
        <v>905</v>
      </c>
      <c r="C325" s="105" t="s">
        <v>170</v>
      </c>
      <c r="D325" s="105" t="s">
        <v>122</v>
      </c>
      <c r="E325" s="10" t="s">
        <v>814</v>
      </c>
      <c r="F325" s="91" t="s">
        <v>51</v>
      </c>
      <c r="G325" s="74">
        <f>G326</f>
        <v>14994</v>
      </c>
      <c r="H325" s="74">
        <f>H326</f>
        <v>14994</v>
      </c>
      <c r="I325" s="102"/>
    </row>
    <row r="326" spans="1:56" ht="116.25" customHeight="1" x14ac:dyDescent="0.3">
      <c r="A326" s="124" t="s">
        <v>175</v>
      </c>
      <c r="B326" s="122">
        <v>905</v>
      </c>
      <c r="C326" s="105" t="s">
        <v>170</v>
      </c>
      <c r="D326" s="105" t="s">
        <v>122</v>
      </c>
      <c r="E326" s="10" t="s">
        <v>817</v>
      </c>
      <c r="F326" s="91" t="s">
        <v>51</v>
      </c>
      <c r="G326" s="74">
        <f>G327+G328</f>
        <v>14994</v>
      </c>
      <c r="H326" s="74">
        <f>H327+H328</f>
        <v>14994</v>
      </c>
      <c r="I326" s="102"/>
    </row>
    <row r="327" spans="1:56" ht="37.5" x14ac:dyDescent="0.3">
      <c r="A327" s="124" t="s">
        <v>433</v>
      </c>
      <c r="B327" s="122">
        <v>905</v>
      </c>
      <c r="C327" s="105" t="s">
        <v>170</v>
      </c>
      <c r="D327" s="105" t="s">
        <v>122</v>
      </c>
      <c r="E327" s="10" t="s">
        <v>817</v>
      </c>
      <c r="F327" s="91" t="s">
        <v>60</v>
      </c>
      <c r="G327" s="243">
        <v>149</v>
      </c>
      <c r="H327" s="74">
        <v>149</v>
      </c>
      <c r="I327" s="102"/>
      <c r="AI327" s="100">
        <v>150</v>
      </c>
      <c r="AL327" s="133">
        <v>150</v>
      </c>
      <c r="AM327" s="133">
        <v>150</v>
      </c>
      <c r="AS327" s="134">
        <v>160</v>
      </c>
      <c r="AU327" s="134">
        <v>160</v>
      </c>
      <c r="BC327" s="236">
        <v>13074</v>
      </c>
      <c r="BD327" s="237">
        <v>13074</v>
      </c>
    </row>
    <row r="328" spans="1:56" ht="28.5" customHeight="1" x14ac:dyDescent="0.3">
      <c r="A328" s="124" t="s">
        <v>176</v>
      </c>
      <c r="B328" s="122">
        <v>905</v>
      </c>
      <c r="C328" s="105" t="s">
        <v>170</v>
      </c>
      <c r="D328" s="105" t="s">
        <v>122</v>
      </c>
      <c r="E328" s="10" t="s">
        <v>817</v>
      </c>
      <c r="F328" s="91" t="s">
        <v>177</v>
      </c>
      <c r="G328" s="243">
        <v>14845</v>
      </c>
      <c r="H328" s="74">
        <v>14845</v>
      </c>
      <c r="I328" s="102"/>
      <c r="AE328" s="100">
        <v>410</v>
      </c>
      <c r="AI328" s="100">
        <v>11820</v>
      </c>
      <c r="AL328" s="102">
        <v>11820</v>
      </c>
      <c r="AM328" s="102">
        <v>11820</v>
      </c>
      <c r="AS328" s="134">
        <v>13267</v>
      </c>
      <c r="AU328" s="134">
        <v>13267</v>
      </c>
      <c r="BC328" s="236">
        <v>162</v>
      </c>
      <c r="BD328" s="237">
        <v>162</v>
      </c>
    </row>
    <row r="329" spans="1:56" ht="28.5" hidden="1" customHeight="1" outlineLevel="1" x14ac:dyDescent="0.3">
      <c r="A329" s="145" t="s">
        <v>331</v>
      </c>
      <c r="B329" s="118">
        <v>905</v>
      </c>
      <c r="C329" s="146">
        <v>11</v>
      </c>
      <c r="D329" s="114" t="s">
        <v>113</v>
      </c>
      <c r="E329" s="146" t="s">
        <v>50</v>
      </c>
      <c r="F329" s="114" t="s">
        <v>51</v>
      </c>
      <c r="G329" s="93">
        <f t="shared" ref="G329:H333" si="12">G330</f>
        <v>0</v>
      </c>
      <c r="H329" s="93">
        <f t="shared" si="12"/>
        <v>0</v>
      </c>
      <c r="I329" s="102"/>
    </row>
    <row r="330" spans="1:56" ht="28.5" hidden="1" customHeight="1" outlineLevel="1" x14ac:dyDescent="0.3">
      <c r="A330" s="145" t="s">
        <v>332</v>
      </c>
      <c r="B330" s="118">
        <v>905</v>
      </c>
      <c r="C330" s="146">
        <v>11</v>
      </c>
      <c r="D330" s="114" t="s">
        <v>117</v>
      </c>
      <c r="E330" s="146" t="s">
        <v>50</v>
      </c>
      <c r="F330" s="114" t="s">
        <v>51</v>
      </c>
      <c r="G330" s="93">
        <f t="shared" si="12"/>
        <v>0</v>
      </c>
      <c r="H330" s="93">
        <f t="shared" si="12"/>
        <v>0</v>
      </c>
      <c r="I330" s="102"/>
    </row>
    <row r="331" spans="1:56" ht="62.25" hidden="1" customHeight="1" outlineLevel="1" x14ac:dyDescent="0.3">
      <c r="A331" s="121" t="s">
        <v>160</v>
      </c>
      <c r="B331" s="122">
        <v>905</v>
      </c>
      <c r="C331" s="105" t="s">
        <v>185</v>
      </c>
      <c r="D331" s="105" t="s">
        <v>117</v>
      </c>
      <c r="E331" s="91" t="s">
        <v>92</v>
      </c>
      <c r="F331" s="91" t="s">
        <v>51</v>
      </c>
      <c r="G331" s="74">
        <f t="shared" si="12"/>
        <v>0</v>
      </c>
      <c r="H331" s="74">
        <f t="shared" si="12"/>
        <v>0</v>
      </c>
      <c r="I331" s="102"/>
    </row>
    <row r="332" spans="1:56" ht="28.5" hidden="1" customHeight="1" outlineLevel="1" x14ac:dyDescent="0.3">
      <c r="A332" s="124" t="s">
        <v>63</v>
      </c>
      <c r="B332" s="122">
        <v>905</v>
      </c>
      <c r="C332" s="105" t="s">
        <v>185</v>
      </c>
      <c r="D332" s="105" t="s">
        <v>117</v>
      </c>
      <c r="E332" s="91" t="s">
        <v>334</v>
      </c>
      <c r="F332" s="91" t="s">
        <v>51</v>
      </c>
      <c r="G332" s="74">
        <f t="shared" si="12"/>
        <v>0</v>
      </c>
      <c r="H332" s="74">
        <f t="shared" si="12"/>
        <v>0</v>
      </c>
      <c r="I332" s="102"/>
    </row>
    <row r="333" spans="1:56" ht="29.25" hidden="1" customHeight="1" outlineLevel="1" x14ac:dyDescent="0.3">
      <c r="A333" s="124" t="s">
        <v>333</v>
      </c>
      <c r="B333" s="122">
        <v>905</v>
      </c>
      <c r="C333" s="105" t="s">
        <v>185</v>
      </c>
      <c r="D333" s="105" t="s">
        <v>117</v>
      </c>
      <c r="E333" s="91" t="s">
        <v>335</v>
      </c>
      <c r="F333" s="91" t="s">
        <v>51</v>
      </c>
      <c r="G333" s="74">
        <f t="shared" si="12"/>
        <v>0</v>
      </c>
      <c r="H333" s="74">
        <f t="shared" si="12"/>
        <v>0</v>
      </c>
      <c r="I333" s="102"/>
    </row>
    <row r="334" spans="1:56" ht="38.25" hidden="1" customHeight="1" outlineLevel="1" x14ac:dyDescent="0.3">
      <c r="A334" s="124" t="s">
        <v>433</v>
      </c>
      <c r="B334" s="122">
        <v>905</v>
      </c>
      <c r="C334" s="105" t="s">
        <v>185</v>
      </c>
      <c r="D334" s="105" t="s">
        <v>117</v>
      </c>
      <c r="E334" s="91" t="s">
        <v>335</v>
      </c>
      <c r="F334" s="91" t="s">
        <v>60</v>
      </c>
      <c r="G334" s="74">
        <f>7-7</f>
        <v>0</v>
      </c>
      <c r="H334" s="74">
        <f>7-7</f>
        <v>0</v>
      </c>
      <c r="I334" s="102"/>
    </row>
    <row r="335" spans="1:56" ht="56.25" collapsed="1" x14ac:dyDescent="0.3">
      <c r="A335" s="115" t="s">
        <v>350</v>
      </c>
      <c r="B335" s="239">
        <v>912</v>
      </c>
      <c r="C335" s="242" t="s">
        <v>113</v>
      </c>
      <c r="D335" s="242" t="s">
        <v>113</v>
      </c>
      <c r="E335" s="242" t="s">
        <v>50</v>
      </c>
      <c r="F335" s="242" t="s">
        <v>51</v>
      </c>
      <c r="G335" s="241">
        <f>G336+G373+G380+G359</f>
        <v>21696.800000000003</v>
      </c>
      <c r="H335" s="241">
        <f>H336+H381</f>
        <v>33943.800000000003</v>
      </c>
      <c r="I335" s="102"/>
    </row>
    <row r="336" spans="1:56" x14ac:dyDescent="0.3">
      <c r="A336" s="113" t="s">
        <v>115</v>
      </c>
      <c r="B336" s="118">
        <v>912</v>
      </c>
      <c r="C336" s="114" t="s">
        <v>116</v>
      </c>
      <c r="D336" s="114" t="s">
        <v>113</v>
      </c>
      <c r="E336" s="114" t="s">
        <v>50</v>
      </c>
      <c r="F336" s="114" t="s">
        <v>51</v>
      </c>
      <c r="G336" s="93">
        <f>G337+G350+G355</f>
        <v>21696.800000000003</v>
      </c>
      <c r="H336" s="93">
        <f>H337+H355+H350</f>
        <v>33943.800000000003</v>
      </c>
      <c r="I336" s="102"/>
    </row>
    <row r="337" spans="1:54" ht="75" x14ac:dyDescent="0.3">
      <c r="A337" s="113" t="s">
        <v>121</v>
      </c>
      <c r="B337" s="118">
        <v>912</v>
      </c>
      <c r="C337" s="114" t="s">
        <v>116</v>
      </c>
      <c r="D337" s="114" t="s">
        <v>122</v>
      </c>
      <c r="E337" s="114" t="s">
        <v>50</v>
      </c>
      <c r="F337" s="114" t="s">
        <v>51</v>
      </c>
      <c r="G337" s="93">
        <f t="shared" ref="G337:H339" si="13">G338</f>
        <v>10417.6</v>
      </c>
      <c r="H337" s="93">
        <f t="shared" si="13"/>
        <v>10417.6</v>
      </c>
      <c r="I337" s="102"/>
      <c r="T337" s="100" t="s">
        <v>674</v>
      </c>
    </row>
    <row r="338" spans="1:54" ht="56.25" x14ac:dyDescent="0.3">
      <c r="A338" s="131" t="s">
        <v>16</v>
      </c>
      <c r="B338" s="122">
        <v>912</v>
      </c>
      <c r="C338" s="91" t="s">
        <v>116</v>
      </c>
      <c r="D338" s="91" t="s">
        <v>122</v>
      </c>
      <c r="E338" s="123" t="s">
        <v>32</v>
      </c>
      <c r="F338" s="123" t="s">
        <v>51</v>
      </c>
      <c r="G338" s="74">
        <f t="shared" si="13"/>
        <v>10417.6</v>
      </c>
      <c r="H338" s="74">
        <f t="shared" si="13"/>
        <v>10417.6</v>
      </c>
      <c r="I338" s="102"/>
    </row>
    <row r="339" spans="1:54" ht="40.5" customHeight="1" x14ac:dyDescent="0.3">
      <c r="A339" s="125" t="s">
        <v>18</v>
      </c>
      <c r="B339" s="122">
        <v>912</v>
      </c>
      <c r="C339" s="91" t="s">
        <v>116</v>
      </c>
      <c r="D339" s="91" t="s">
        <v>122</v>
      </c>
      <c r="E339" s="123" t="s">
        <v>34</v>
      </c>
      <c r="F339" s="123" t="s">
        <v>51</v>
      </c>
      <c r="G339" s="74">
        <f t="shared" si="13"/>
        <v>10417.6</v>
      </c>
      <c r="H339" s="74">
        <f t="shared" si="13"/>
        <v>10417.6</v>
      </c>
      <c r="I339" s="102"/>
    </row>
    <row r="340" spans="1:54" ht="81.75" customHeight="1" x14ac:dyDescent="0.3">
      <c r="A340" s="124" t="s">
        <v>104</v>
      </c>
      <c r="B340" s="122">
        <v>912</v>
      </c>
      <c r="C340" s="91" t="s">
        <v>116</v>
      </c>
      <c r="D340" s="91" t="s">
        <v>122</v>
      </c>
      <c r="E340" s="123" t="s">
        <v>36</v>
      </c>
      <c r="F340" s="123" t="s">
        <v>51</v>
      </c>
      <c r="G340" s="74">
        <f>G341+G346+G344</f>
        <v>10417.6</v>
      </c>
      <c r="H340" s="74">
        <f>H341+H346+H344</f>
        <v>10417.6</v>
      </c>
      <c r="I340" s="102"/>
    </row>
    <row r="341" spans="1:54" x14ac:dyDescent="0.3">
      <c r="A341" s="124" t="s">
        <v>105</v>
      </c>
      <c r="B341" s="122">
        <v>912</v>
      </c>
      <c r="C341" s="91" t="s">
        <v>116</v>
      </c>
      <c r="D341" s="91" t="s">
        <v>122</v>
      </c>
      <c r="E341" s="91" t="s">
        <v>37</v>
      </c>
      <c r="F341" s="123" t="s">
        <v>51</v>
      </c>
      <c r="G341" s="74">
        <f>G342+G343</f>
        <v>10137.1</v>
      </c>
      <c r="H341" s="74">
        <f>H342+H343</f>
        <v>10137.1</v>
      </c>
      <c r="I341" s="102"/>
    </row>
    <row r="342" spans="1:54" ht="93.75" x14ac:dyDescent="0.3">
      <c r="A342" s="124" t="s">
        <v>57</v>
      </c>
      <c r="B342" s="122">
        <v>912</v>
      </c>
      <c r="C342" s="91" t="s">
        <v>116</v>
      </c>
      <c r="D342" s="91" t="s">
        <v>122</v>
      </c>
      <c r="E342" s="123" t="s">
        <v>37</v>
      </c>
      <c r="F342" s="123" t="s">
        <v>58</v>
      </c>
      <c r="G342" s="74">
        <v>9636.5</v>
      </c>
      <c r="H342" s="74">
        <v>9636.5</v>
      </c>
      <c r="I342" s="102"/>
      <c r="R342" s="100">
        <f>1.3+0.7</f>
        <v>2</v>
      </c>
      <c r="AI342" s="100">
        <v>7316.5</v>
      </c>
      <c r="AL342" s="102">
        <v>7316.5</v>
      </c>
      <c r="AM342" s="102">
        <v>7316.5</v>
      </c>
      <c r="AR342" s="101">
        <v>8312</v>
      </c>
      <c r="AT342" s="101">
        <v>8312</v>
      </c>
      <c r="BA342" s="227">
        <v>9864.9</v>
      </c>
      <c r="BB342" s="223">
        <v>9864.9</v>
      </c>
    </row>
    <row r="343" spans="1:54" ht="37.5" x14ac:dyDescent="0.3">
      <c r="A343" s="124" t="s">
        <v>433</v>
      </c>
      <c r="B343" s="122">
        <v>912</v>
      </c>
      <c r="C343" s="91" t="s">
        <v>116</v>
      </c>
      <c r="D343" s="91" t="s">
        <v>122</v>
      </c>
      <c r="E343" s="123" t="s">
        <v>37</v>
      </c>
      <c r="F343" s="123" t="s">
        <v>60</v>
      </c>
      <c r="G343" s="74">
        <f>473+27.6</f>
        <v>500.6</v>
      </c>
      <c r="H343" s="74">
        <v>500.6</v>
      </c>
      <c r="I343" s="102"/>
      <c r="R343" s="100">
        <v>-1.3</v>
      </c>
      <c r="AG343" s="100">
        <v>210</v>
      </c>
      <c r="AI343" s="100">
        <v>441.1</v>
      </c>
      <c r="AL343" s="102">
        <v>69.099999999999994</v>
      </c>
      <c r="AM343" s="102">
        <v>69.099999999999994</v>
      </c>
      <c r="AR343" s="101">
        <f>195.5+23.3</f>
        <v>218.8</v>
      </c>
      <c r="AT343" s="101">
        <f>196+23.3</f>
        <v>219.3</v>
      </c>
      <c r="BA343" s="227">
        <v>349.1</v>
      </c>
      <c r="BB343" s="223">
        <v>349.1</v>
      </c>
    </row>
    <row r="344" spans="1:54" ht="37.5" hidden="1" x14ac:dyDescent="0.3">
      <c r="A344" s="125" t="s">
        <v>377</v>
      </c>
      <c r="B344" s="122">
        <v>912</v>
      </c>
      <c r="C344" s="91" t="s">
        <v>116</v>
      </c>
      <c r="D344" s="91" t="s">
        <v>122</v>
      </c>
      <c r="E344" s="123" t="s">
        <v>518</v>
      </c>
      <c r="F344" s="123" t="s">
        <v>51</v>
      </c>
      <c r="G344" s="74">
        <f>G345</f>
        <v>0</v>
      </c>
      <c r="H344" s="74">
        <f>H345</f>
        <v>0</v>
      </c>
      <c r="I344" s="102"/>
    </row>
    <row r="345" spans="1:54" ht="93.75" hidden="1" x14ac:dyDescent="0.3">
      <c r="A345" s="124" t="s">
        <v>57</v>
      </c>
      <c r="B345" s="122">
        <v>912</v>
      </c>
      <c r="C345" s="91" t="s">
        <v>116</v>
      </c>
      <c r="D345" s="91" t="s">
        <v>122</v>
      </c>
      <c r="E345" s="123" t="s">
        <v>518</v>
      </c>
      <c r="F345" s="123" t="s">
        <v>58</v>
      </c>
      <c r="G345" s="74">
        <v>0</v>
      </c>
      <c r="H345" s="74">
        <v>0</v>
      </c>
      <c r="I345" s="102"/>
      <c r="AE345" s="100">
        <v>499.1</v>
      </c>
      <c r="AI345" s="100">
        <v>0</v>
      </c>
    </row>
    <row r="346" spans="1:54" ht="37.5" x14ac:dyDescent="0.3">
      <c r="A346" s="124" t="s">
        <v>182</v>
      </c>
      <c r="B346" s="122">
        <v>912</v>
      </c>
      <c r="C346" s="91" t="s">
        <v>116</v>
      </c>
      <c r="D346" s="91" t="s">
        <v>122</v>
      </c>
      <c r="E346" s="91" t="s">
        <v>183</v>
      </c>
      <c r="F346" s="91" t="s">
        <v>51</v>
      </c>
      <c r="G346" s="74">
        <f>G347+G349</f>
        <v>280.5</v>
      </c>
      <c r="H346" s="74">
        <f>H347+H349</f>
        <v>280.5</v>
      </c>
      <c r="I346" s="102"/>
    </row>
    <row r="347" spans="1:54" ht="93.75" x14ac:dyDescent="0.3">
      <c r="A347" s="124" t="s">
        <v>57</v>
      </c>
      <c r="B347" s="122">
        <v>912</v>
      </c>
      <c r="C347" s="91" t="s">
        <v>116</v>
      </c>
      <c r="D347" s="91" t="s">
        <v>122</v>
      </c>
      <c r="E347" s="91" t="s">
        <v>183</v>
      </c>
      <c r="F347" s="91" t="s">
        <v>58</v>
      </c>
      <c r="G347" s="74">
        <v>280.5</v>
      </c>
      <c r="H347" s="74">
        <v>280.5</v>
      </c>
      <c r="I347" s="102"/>
      <c r="AI347" s="100">
        <v>70.2</v>
      </c>
      <c r="AL347" s="102">
        <v>70.2</v>
      </c>
      <c r="AM347" s="102">
        <v>70.2</v>
      </c>
      <c r="AR347" s="101">
        <v>88.4</v>
      </c>
      <c r="AT347" s="101">
        <v>88.4</v>
      </c>
    </row>
    <row r="348" spans="1:54" ht="37.5" hidden="1" x14ac:dyDescent="0.3">
      <c r="A348" s="125" t="s">
        <v>377</v>
      </c>
      <c r="B348" s="122">
        <v>912</v>
      </c>
      <c r="C348" s="91" t="s">
        <v>116</v>
      </c>
      <c r="D348" s="91" t="s">
        <v>122</v>
      </c>
      <c r="E348" s="123" t="s">
        <v>728</v>
      </c>
      <c r="F348" s="123" t="s">
        <v>51</v>
      </c>
      <c r="G348" s="74">
        <f>G349</f>
        <v>0</v>
      </c>
      <c r="H348" s="74">
        <f>H349</f>
        <v>0</v>
      </c>
      <c r="I348" s="102"/>
    </row>
    <row r="349" spans="1:54" ht="93.75" hidden="1" x14ac:dyDescent="0.3">
      <c r="A349" s="124" t="s">
        <v>57</v>
      </c>
      <c r="B349" s="122">
        <v>912</v>
      </c>
      <c r="C349" s="91" t="s">
        <v>116</v>
      </c>
      <c r="D349" s="91" t="s">
        <v>122</v>
      </c>
      <c r="E349" s="123" t="s">
        <v>728</v>
      </c>
      <c r="F349" s="123" t="s">
        <v>58</v>
      </c>
      <c r="G349" s="74">
        <v>0</v>
      </c>
      <c r="H349" s="74">
        <v>0</v>
      </c>
      <c r="I349" s="102"/>
      <c r="AE349" s="100">
        <v>7.8</v>
      </c>
      <c r="AI349" s="100">
        <v>0</v>
      </c>
    </row>
    <row r="350" spans="1:54" x14ac:dyDescent="0.3">
      <c r="A350" s="119" t="s">
        <v>184</v>
      </c>
      <c r="B350" s="118">
        <v>912</v>
      </c>
      <c r="C350" s="114" t="s">
        <v>116</v>
      </c>
      <c r="D350" s="120" t="s">
        <v>185</v>
      </c>
      <c r="E350" s="118" t="s">
        <v>50</v>
      </c>
      <c r="F350" s="114" t="s">
        <v>51</v>
      </c>
      <c r="G350" s="93">
        <f t="shared" ref="G350:H353" si="14">G351</f>
        <v>100</v>
      </c>
      <c r="H350" s="93">
        <f t="shared" si="14"/>
        <v>100</v>
      </c>
      <c r="I350" s="102"/>
    </row>
    <row r="351" spans="1:54" ht="56.25" x14ac:dyDescent="0.3">
      <c r="A351" s="131" t="s">
        <v>16</v>
      </c>
      <c r="B351" s="122">
        <v>912</v>
      </c>
      <c r="C351" s="91" t="s">
        <v>116</v>
      </c>
      <c r="D351" s="105" t="s">
        <v>185</v>
      </c>
      <c r="E351" s="123" t="s">
        <v>32</v>
      </c>
      <c r="F351" s="123" t="s">
        <v>51</v>
      </c>
      <c r="G351" s="74">
        <f t="shared" si="14"/>
        <v>100</v>
      </c>
      <c r="H351" s="74">
        <f t="shared" si="14"/>
        <v>100</v>
      </c>
      <c r="I351" s="102"/>
    </row>
    <row r="352" spans="1:54" x14ac:dyDescent="0.3">
      <c r="A352" s="124" t="s">
        <v>417</v>
      </c>
      <c r="B352" s="122">
        <v>912</v>
      </c>
      <c r="C352" s="91" t="s">
        <v>116</v>
      </c>
      <c r="D352" s="105" t="s">
        <v>185</v>
      </c>
      <c r="E352" s="123" t="s">
        <v>45</v>
      </c>
      <c r="F352" s="123" t="s">
        <v>51</v>
      </c>
      <c r="G352" s="74">
        <f t="shared" si="14"/>
        <v>100</v>
      </c>
      <c r="H352" s="74">
        <f t="shared" si="14"/>
        <v>100</v>
      </c>
      <c r="I352" s="102"/>
    </row>
    <row r="353" spans="1:54" x14ac:dyDescent="0.3">
      <c r="A353" s="124" t="s">
        <v>186</v>
      </c>
      <c r="B353" s="122">
        <v>912</v>
      </c>
      <c r="C353" s="91" t="s">
        <v>116</v>
      </c>
      <c r="D353" s="105" t="s">
        <v>185</v>
      </c>
      <c r="E353" s="123" t="s">
        <v>187</v>
      </c>
      <c r="F353" s="123" t="s">
        <v>51</v>
      </c>
      <c r="G353" s="74">
        <f t="shared" si="14"/>
        <v>100</v>
      </c>
      <c r="H353" s="74">
        <f t="shared" si="14"/>
        <v>100</v>
      </c>
      <c r="I353" s="102"/>
    </row>
    <row r="354" spans="1:54" x14ac:dyDescent="0.3">
      <c r="A354" s="124" t="s">
        <v>61</v>
      </c>
      <c r="B354" s="122">
        <v>912</v>
      </c>
      <c r="C354" s="91" t="s">
        <v>116</v>
      </c>
      <c r="D354" s="105" t="s">
        <v>185</v>
      </c>
      <c r="E354" s="123" t="s">
        <v>187</v>
      </c>
      <c r="F354" s="123" t="s">
        <v>62</v>
      </c>
      <c r="G354" s="74">
        <v>100</v>
      </c>
      <c r="H354" s="74">
        <v>100</v>
      </c>
      <c r="I354" s="102"/>
      <c r="AI354" s="100">
        <v>100</v>
      </c>
      <c r="AL354" s="102">
        <v>100</v>
      </c>
      <c r="AM354" s="102">
        <v>100</v>
      </c>
      <c r="AR354" s="101">
        <v>100</v>
      </c>
      <c r="AT354" s="101">
        <v>100</v>
      </c>
    </row>
    <row r="355" spans="1:54" ht="56.25" x14ac:dyDescent="0.3">
      <c r="A355" s="147" t="s">
        <v>16</v>
      </c>
      <c r="B355" s="148">
        <v>912</v>
      </c>
      <c r="C355" s="149" t="s">
        <v>116</v>
      </c>
      <c r="D355" s="150" t="s">
        <v>191</v>
      </c>
      <c r="E355" s="151" t="s">
        <v>32</v>
      </c>
      <c r="F355" s="151" t="s">
        <v>51</v>
      </c>
      <c r="G355" s="93">
        <f t="shared" ref="G355:H357" si="15">G356</f>
        <v>11179.2</v>
      </c>
      <c r="H355" s="93">
        <f t="shared" si="15"/>
        <v>23426.2</v>
      </c>
      <c r="I355" s="102"/>
    </row>
    <row r="356" spans="1:54" ht="56.25" x14ac:dyDescent="0.3">
      <c r="A356" s="125" t="s">
        <v>18</v>
      </c>
      <c r="B356" s="127">
        <v>912</v>
      </c>
      <c r="C356" s="128" t="s">
        <v>116</v>
      </c>
      <c r="D356" s="152" t="s">
        <v>191</v>
      </c>
      <c r="E356" s="128" t="s">
        <v>34</v>
      </c>
      <c r="F356" s="128" t="s">
        <v>51</v>
      </c>
      <c r="G356" s="74">
        <f t="shared" si="15"/>
        <v>11179.2</v>
      </c>
      <c r="H356" s="74">
        <f t="shared" si="15"/>
        <v>23426.2</v>
      </c>
      <c r="I356" s="102"/>
    </row>
    <row r="357" spans="1:54" x14ac:dyDescent="0.3">
      <c r="A357" s="130" t="s">
        <v>742</v>
      </c>
      <c r="B357" s="127">
        <v>912</v>
      </c>
      <c r="C357" s="128" t="s">
        <v>116</v>
      </c>
      <c r="D357" s="152" t="s">
        <v>191</v>
      </c>
      <c r="E357" s="128" t="s">
        <v>743</v>
      </c>
      <c r="F357" s="128" t="s">
        <v>51</v>
      </c>
      <c r="G357" s="74">
        <f t="shared" si="15"/>
        <v>11179.2</v>
      </c>
      <c r="H357" s="74">
        <f t="shared" si="15"/>
        <v>23426.2</v>
      </c>
      <c r="I357" s="102"/>
    </row>
    <row r="358" spans="1:54" x14ac:dyDescent="0.3">
      <c r="A358" s="130" t="s">
        <v>61</v>
      </c>
      <c r="B358" s="127">
        <v>912</v>
      </c>
      <c r="C358" s="128" t="s">
        <v>116</v>
      </c>
      <c r="D358" s="152" t="s">
        <v>191</v>
      </c>
      <c r="E358" s="128" t="s">
        <v>743</v>
      </c>
      <c r="F358" s="128" t="s">
        <v>62</v>
      </c>
      <c r="G358" s="74">
        <v>11179.2</v>
      </c>
      <c r="H358" s="74">
        <v>23426.2</v>
      </c>
      <c r="I358" s="102"/>
      <c r="AL358" s="102">
        <v>8354</v>
      </c>
      <c r="AM358" s="102">
        <v>16937</v>
      </c>
      <c r="AR358" s="101">
        <v>9461.2000000000007</v>
      </c>
      <c r="AT358" s="101">
        <v>19241.5</v>
      </c>
      <c r="BA358" s="227">
        <v>9994.1</v>
      </c>
      <c r="BB358" s="223">
        <v>20334.400000000001</v>
      </c>
    </row>
    <row r="359" spans="1:54" hidden="1" x14ac:dyDescent="0.3">
      <c r="A359" s="119" t="s">
        <v>123</v>
      </c>
      <c r="B359" s="149" t="s">
        <v>383</v>
      </c>
      <c r="C359" s="114" t="s">
        <v>124</v>
      </c>
      <c r="D359" s="114" t="s">
        <v>113</v>
      </c>
      <c r="E359" s="118" t="s">
        <v>50</v>
      </c>
      <c r="F359" s="114" t="s">
        <v>51</v>
      </c>
      <c r="G359" s="74">
        <f>G360</f>
        <v>0</v>
      </c>
      <c r="H359" s="74">
        <f>H360</f>
        <v>0</v>
      </c>
      <c r="I359" s="102"/>
    </row>
    <row r="360" spans="1:54" ht="37.5" hidden="1" x14ac:dyDescent="0.3">
      <c r="A360" s="153" t="s">
        <v>346</v>
      </c>
      <c r="B360" s="149" t="s">
        <v>383</v>
      </c>
      <c r="C360" s="149" t="s">
        <v>124</v>
      </c>
      <c r="D360" s="154" t="s">
        <v>211</v>
      </c>
      <c r="E360" s="148" t="s">
        <v>50</v>
      </c>
      <c r="F360" s="149" t="s">
        <v>51</v>
      </c>
      <c r="G360" s="74">
        <f>G361</f>
        <v>0</v>
      </c>
      <c r="H360" s="74">
        <f>H361</f>
        <v>0</v>
      </c>
      <c r="I360" s="102"/>
    </row>
    <row r="361" spans="1:54" ht="56.25" hidden="1" x14ac:dyDescent="0.3">
      <c r="A361" s="131" t="s">
        <v>16</v>
      </c>
      <c r="B361" s="122">
        <v>912</v>
      </c>
      <c r="C361" s="128" t="s">
        <v>124</v>
      </c>
      <c r="D361" s="155" t="s">
        <v>211</v>
      </c>
      <c r="E361" s="123" t="s">
        <v>32</v>
      </c>
      <c r="F361" s="123" t="s">
        <v>51</v>
      </c>
      <c r="G361" s="74">
        <f>G365+G362</f>
        <v>0</v>
      </c>
      <c r="H361" s="74">
        <f>H365+H362</f>
        <v>0</v>
      </c>
      <c r="I361" s="102"/>
    </row>
    <row r="362" spans="1:54" ht="43.5" hidden="1" customHeight="1" x14ac:dyDescent="0.3">
      <c r="A362" s="125" t="s">
        <v>17</v>
      </c>
      <c r="B362" s="122">
        <v>912</v>
      </c>
      <c r="C362" s="128" t="s">
        <v>124</v>
      </c>
      <c r="D362" s="155" t="s">
        <v>211</v>
      </c>
      <c r="E362" s="123" t="s">
        <v>33</v>
      </c>
      <c r="F362" s="123" t="s">
        <v>51</v>
      </c>
      <c r="G362" s="74">
        <f>G363</f>
        <v>0</v>
      </c>
      <c r="H362" s="74">
        <f>H363</f>
        <v>0</v>
      </c>
      <c r="I362" s="102"/>
    </row>
    <row r="363" spans="1:54" ht="37.5" hidden="1" x14ac:dyDescent="0.3">
      <c r="A363" s="125" t="s">
        <v>673</v>
      </c>
      <c r="B363" s="122">
        <v>912</v>
      </c>
      <c r="C363" s="128" t="s">
        <v>124</v>
      </c>
      <c r="D363" s="155" t="s">
        <v>211</v>
      </c>
      <c r="E363" s="123" t="s">
        <v>715</v>
      </c>
      <c r="F363" s="123" t="s">
        <v>51</v>
      </c>
      <c r="G363" s="74">
        <f>G364</f>
        <v>0</v>
      </c>
      <c r="H363" s="74">
        <f>H364</f>
        <v>0</v>
      </c>
      <c r="I363" s="102"/>
    </row>
    <row r="364" spans="1:54" ht="37.5" hidden="1" x14ac:dyDescent="0.3">
      <c r="A364" s="124" t="s">
        <v>433</v>
      </c>
      <c r="B364" s="122">
        <v>912</v>
      </c>
      <c r="C364" s="128" t="s">
        <v>124</v>
      </c>
      <c r="D364" s="155" t="s">
        <v>211</v>
      </c>
      <c r="E364" s="123" t="s">
        <v>715</v>
      </c>
      <c r="F364" s="123" t="s">
        <v>60</v>
      </c>
      <c r="G364" s="74">
        <v>0</v>
      </c>
      <c r="H364" s="74">
        <v>0</v>
      </c>
      <c r="I364" s="102"/>
      <c r="AI364" s="100">
        <v>0</v>
      </c>
      <c r="AL364" s="100"/>
      <c r="AM364" s="100"/>
    </row>
    <row r="365" spans="1:54" ht="44.25" hidden="1" customHeight="1" x14ac:dyDescent="0.3">
      <c r="A365" s="125" t="s">
        <v>18</v>
      </c>
      <c r="B365" s="122">
        <v>912</v>
      </c>
      <c r="C365" s="128" t="s">
        <v>124</v>
      </c>
      <c r="D365" s="155" t="s">
        <v>211</v>
      </c>
      <c r="E365" s="123" t="s">
        <v>34</v>
      </c>
      <c r="F365" s="123" t="s">
        <v>51</v>
      </c>
      <c r="G365" s="74">
        <f>G368+G371+G366</f>
        <v>0</v>
      </c>
      <c r="H365" s="74">
        <f>H368+H371+H366</f>
        <v>0</v>
      </c>
      <c r="I365" s="102"/>
      <c r="AL365" s="100"/>
      <c r="AM365" s="100"/>
    </row>
    <row r="366" spans="1:54" ht="44.25" hidden="1" customHeight="1" x14ac:dyDescent="0.3">
      <c r="A366" s="125" t="s">
        <v>673</v>
      </c>
      <c r="B366" s="122">
        <v>912</v>
      </c>
      <c r="C366" s="128" t="s">
        <v>124</v>
      </c>
      <c r="D366" s="155" t="s">
        <v>211</v>
      </c>
      <c r="E366" s="123" t="s">
        <v>442</v>
      </c>
      <c r="F366" s="123" t="s">
        <v>51</v>
      </c>
      <c r="G366" s="74">
        <f>G367</f>
        <v>0</v>
      </c>
      <c r="H366" s="74">
        <f>H367</f>
        <v>0</v>
      </c>
      <c r="I366" s="102"/>
      <c r="AL366" s="100"/>
      <c r="AM366" s="100"/>
    </row>
    <row r="367" spans="1:54" ht="42" hidden="1" customHeight="1" x14ac:dyDescent="0.3">
      <c r="A367" s="124" t="s">
        <v>433</v>
      </c>
      <c r="B367" s="122">
        <v>912</v>
      </c>
      <c r="C367" s="128" t="s">
        <v>124</v>
      </c>
      <c r="D367" s="155" t="s">
        <v>211</v>
      </c>
      <c r="E367" s="123" t="s">
        <v>442</v>
      </c>
      <c r="F367" s="123" t="s">
        <v>60</v>
      </c>
      <c r="G367" s="74">
        <v>0</v>
      </c>
      <c r="H367" s="74">
        <v>0</v>
      </c>
      <c r="I367" s="102"/>
      <c r="S367" s="100">
        <v>50</v>
      </c>
      <c r="AI367" s="100">
        <v>0</v>
      </c>
      <c r="AL367" s="100"/>
      <c r="AM367" s="100"/>
    </row>
    <row r="368" spans="1:54" ht="75" hidden="1" x14ac:dyDescent="0.3">
      <c r="A368" s="124" t="s">
        <v>252</v>
      </c>
      <c r="B368" s="128" t="s">
        <v>383</v>
      </c>
      <c r="C368" s="128" t="s">
        <v>124</v>
      </c>
      <c r="D368" s="155" t="s">
        <v>211</v>
      </c>
      <c r="E368" s="155" t="s">
        <v>384</v>
      </c>
      <c r="F368" s="128" t="s">
        <v>51</v>
      </c>
      <c r="G368" s="74">
        <f>G369</f>
        <v>0</v>
      </c>
      <c r="H368" s="74">
        <f>H369</f>
        <v>0</v>
      </c>
      <c r="I368" s="102"/>
      <c r="AL368" s="100"/>
      <c r="AM368" s="100"/>
    </row>
    <row r="369" spans="1:39" ht="75" hidden="1" x14ac:dyDescent="0.3">
      <c r="A369" s="124" t="s">
        <v>449</v>
      </c>
      <c r="B369" s="128" t="s">
        <v>383</v>
      </c>
      <c r="C369" s="128" t="s">
        <v>124</v>
      </c>
      <c r="D369" s="155" t="s">
        <v>211</v>
      </c>
      <c r="E369" s="155" t="s">
        <v>385</v>
      </c>
      <c r="F369" s="128" t="s">
        <v>51</v>
      </c>
      <c r="G369" s="74">
        <f>G370</f>
        <v>0</v>
      </c>
      <c r="H369" s="74">
        <f>H370</f>
        <v>0</v>
      </c>
      <c r="I369" s="102"/>
      <c r="AL369" s="100"/>
      <c r="AM369" s="100"/>
    </row>
    <row r="370" spans="1:39" ht="37.5" hidden="1" x14ac:dyDescent="0.3">
      <c r="A370" s="124" t="s">
        <v>433</v>
      </c>
      <c r="B370" s="128" t="s">
        <v>383</v>
      </c>
      <c r="C370" s="128" t="s">
        <v>124</v>
      </c>
      <c r="D370" s="155" t="s">
        <v>211</v>
      </c>
      <c r="E370" s="155" t="s">
        <v>385</v>
      </c>
      <c r="F370" s="123" t="s">
        <v>60</v>
      </c>
      <c r="G370" s="74">
        <v>0</v>
      </c>
      <c r="H370" s="74">
        <v>0</v>
      </c>
      <c r="I370" s="102"/>
      <c r="R370" s="100">
        <v>0.03</v>
      </c>
      <c r="AI370" s="100">
        <v>0</v>
      </c>
      <c r="AL370" s="100"/>
      <c r="AM370" s="100"/>
    </row>
    <row r="371" spans="1:39" ht="93.75" hidden="1" x14ac:dyDescent="0.3">
      <c r="A371" s="124" t="s">
        <v>448</v>
      </c>
      <c r="B371" s="128" t="s">
        <v>383</v>
      </c>
      <c r="C371" s="128" t="s">
        <v>124</v>
      </c>
      <c r="D371" s="155" t="s">
        <v>211</v>
      </c>
      <c r="E371" s="155" t="s">
        <v>386</v>
      </c>
      <c r="F371" s="123" t="s">
        <v>51</v>
      </c>
      <c r="G371" s="74">
        <f>G372</f>
        <v>0</v>
      </c>
      <c r="H371" s="74">
        <f>H372</f>
        <v>0</v>
      </c>
      <c r="I371" s="102"/>
      <c r="AL371" s="100"/>
      <c r="AM371" s="100"/>
    </row>
    <row r="372" spans="1:39" ht="37.5" hidden="1" x14ac:dyDescent="0.3">
      <c r="A372" s="124" t="s">
        <v>433</v>
      </c>
      <c r="B372" s="128" t="s">
        <v>383</v>
      </c>
      <c r="C372" s="128" t="s">
        <v>124</v>
      </c>
      <c r="D372" s="155" t="s">
        <v>211</v>
      </c>
      <c r="E372" s="155" t="s">
        <v>386</v>
      </c>
      <c r="F372" s="123" t="s">
        <v>60</v>
      </c>
      <c r="G372" s="74">
        <v>0</v>
      </c>
      <c r="H372" s="74">
        <v>0</v>
      </c>
      <c r="I372" s="102"/>
      <c r="R372" s="100">
        <v>-0.03</v>
      </c>
      <c r="AI372" s="100">
        <v>0</v>
      </c>
      <c r="AL372" s="100"/>
      <c r="AM372" s="100"/>
    </row>
    <row r="373" spans="1:39" hidden="1" outlineLevel="1" x14ac:dyDescent="0.3">
      <c r="A373" s="119" t="s">
        <v>167</v>
      </c>
      <c r="B373" s="118">
        <v>912</v>
      </c>
      <c r="C373" s="120">
        <v>10</v>
      </c>
      <c r="D373" s="120" t="s">
        <v>113</v>
      </c>
      <c r="E373" s="118" t="s">
        <v>50</v>
      </c>
      <c r="F373" s="114" t="s">
        <v>51</v>
      </c>
      <c r="G373" s="93">
        <f t="shared" ref="G373:H377" si="16">G374</f>
        <v>0</v>
      </c>
      <c r="H373" s="93">
        <f t="shared" si="16"/>
        <v>0.7</v>
      </c>
      <c r="I373" s="102"/>
      <c r="AL373" s="100"/>
      <c r="AM373" s="100"/>
    </row>
    <row r="374" spans="1:39" hidden="1" outlineLevel="1" x14ac:dyDescent="0.3">
      <c r="A374" s="119" t="s">
        <v>172</v>
      </c>
      <c r="B374" s="118">
        <v>912</v>
      </c>
      <c r="C374" s="120">
        <v>10</v>
      </c>
      <c r="D374" s="120" t="s">
        <v>122</v>
      </c>
      <c r="E374" s="118" t="s">
        <v>50</v>
      </c>
      <c r="F374" s="114" t="s">
        <v>51</v>
      </c>
      <c r="G374" s="93">
        <f t="shared" si="16"/>
        <v>0</v>
      </c>
      <c r="H374" s="93">
        <f t="shared" si="16"/>
        <v>0.7</v>
      </c>
      <c r="I374" s="102"/>
      <c r="AL374" s="100"/>
      <c r="AM374" s="100"/>
    </row>
    <row r="375" spans="1:39" ht="56.25" hidden="1" outlineLevel="1" x14ac:dyDescent="0.3">
      <c r="A375" s="131" t="s">
        <v>16</v>
      </c>
      <c r="B375" s="122">
        <v>912</v>
      </c>
      <c r="C375" s="105">
        <v>10</v>
      </c>
      <c r="D375" s="105" t="s">
        <v>122</v>
      </c>
      <c r="E375" s="123" t="s">
        <v>32</v>
      </c>
      <c r="F375" s="123" t="s">
        <v>51</v>
      </c>
      <c r="G375" s="74">
        <f t="shared" si="16"/>
        <v>0</v>
      </c>
      <c r="H375" s="74">
        <f t="shared" si="16"/>
        <v>0.7</v>
      </c>
      <c r="I375" s="102"/>
      <c r="AL375" s="100"/>
      <c r="AM375" s="100"/>
    </row>
    <row r="376" spans="1:39" ht="39" hidden="1" customHeight="1" outlineLevel="1" x14ac:dyDescent="0.3">
      <c r="A376" s="125" t="s">
        <v>18</v>
      </c>
      <c r="B376" s="122">
        <v>912</v>
      </c>
      <c r="C376" s="105">
        <v>10</v>
      </c>
      <c r="D376" s="105" t="s">
        <v>122</v>
      </c>
      <c r="E376" s="123" t="s">
        <v>34</v>
      </c>
      <c r="F376" s="123" t="s">
        <v>51</v>
      </c>
      <c r="G376" s="74">
        <f t="shared" si="16"/>
        <v>0</v>
      </c>
      <c r="H376" s="74">
        <f t="shared" si="16"/>
        <v>0.7</v>
      </c>
      <c r="I376" s="102"/>
      <c r="AL376" s="100"/>
      <c r="AM376" s="100"/>
    </row>
    <row r="377" spans="1:39" ht="78" hidden="1" customHeight="1" outlineLevel="1" x14ac:dyDescent="0.3">
      <c r="A377" s="124" t="s">
        <v>104</v>
      </c>
      <c r="B377" s="122">
        <v>912</v>
      </c>
      <c r="C377" s="105">
        <v>10</v>
      </c>
      <c r="D377" s="105" t="s">
        <v>122</v>
      </c>
      <c r="E377" s="123" t="s">
        <v>36</v>
      </c>
      <c r="F377" s="123" t="s">
        <v>51</v>
      </c>
      <c r="G377" s="74">
        <f t="shared" si="16"/>
        <v>0</v>
      </c>
      <c r="H377" s="74">
        <f t="shared" si="16"/>
        <v>0.7</v>
      </c>
      <c r="I377" s="102"/>
      <c r="AL377" s="100"/>
      <c r="AM377" s="100"/>
    </row>
    <row r="378" spans="1:39" hidden="1" outlineLevel="1" x14ac:dyDescent="0.3">
      <c r="A378" s="124" t="s">
        <v>105</v>
      </c>
      <c r="B378" s="122">
        <v>912</v>
      </c>
      <c r="C378" s="105">
        <v>10</v>
      </c>
      <c r="D378" s="105" t="s">
        <v>122</v>
      </c>
      <c r="E378" s="91" t="s">
        <v>37</v>
      </c>
      <c r="F378" s="123" t="s">
        <v>51</v>
      </c>
      <c r="G378" s="74">
        <f>G379</f>
        <v>0</v>
      </c>
      <c r="H378" s="74">
        <f>H379</f>
        <v>0.7</v>
      </c>
      <c r="I378" s="102"/>
      <c r="AL378" s="100"/>
      <c r="AM378" s="100"/>
    </row>
    <row r="379" spans="1:39" ht="93.75" hidden="1" outlineLevel="1" x14ac:dyDescent="0.3">
      <c r="A379" s="124" t="s">
        <v>57</v>
      </c>
      <c r="B379" s="122">
        <v>912</v>
      </c>
      <c r="C379" s="105">
        <v>10</v>
      </c>
      <c r="D379" s="105" t="s">
        <v>122</v>
      </c>
      <c r="E379" s="91" t="s">
        <v>37</v>
      </c>
      <c r="F379" s="123" t="s">
        <v>58</v>
      </c>
      <c r="G379" s="74">
        <f>0.7+R379</f>
        <v>0</v>
      </c>
      <c r="H379" s="74">
        <f>0.7+S379</f>
        <v>0.7</v>
      </c>
      <c r="I379" s="102"/>
      <c r="R379" s="100">
        <v>-0.7</v>
      </c>
      <c r="AL379" s="100"/>
      <c r="AM379" s="100"/>
    </row>
    <row r="380" spans="1:39" ht="37.5" hidden="1" collapsed="1" x14ac:dyDescent="0.3">
      <c r="A380" s="119" t="s">
        <v>188</v>
      </c>
      <c r="B380" s="118">
        <v>912</v>
      </c>
      <c r="C380" s="114">
        <v>13</v>
      </c>
      <c r="D380" s="114" t="s">
        <v>113</v>
      </c>
      <c r="E380" s="114" t="s">
        <v>50</v>
      </c>
      <c r="F380" s="114" t="s">
        <v>51</v>
      </c>
      <c r="G380" s="93">
        <f t="shared" ref="G380:H384" si="17">G381</f>
        <v>0</v>
      </c>
      <c r="H380" s="93">
        <f t="shared" si="17"/>
        <v>0</v>
      </c>
      <c r="I380" s="102"/>
    </row>
    <row r="381" spans="1:39" ht="37.5" hidden="1" x14ac:dyDescent="0.3">
      <c r="A381" s="119" t="s">
        <v>189</v>
      </c>
      <c r="B381" s="118">
        <v>912</v>
      </c>
      <c r="C381" s="146">
        <v>13</v>
      </c>
      <c r="D381" s="114" t="s">
        <v>116</v>
      </c>
      <c r="E381" s="146" t="s">
        <v>50</v>
      </c>
      <c r="F381" s="114" t="s">
        <v>51</v>
      </c>
      <c r="G381" s="93">
        <f t="shared" si="17"/>
        <v>0</v>
      </c>
      <c r="H381" s="93">
        <f t="shared" si="17"/>
        <v>0</v>
      </c>
      <c r="I381" s="102"/>
    </row>
    <row r="382" spans="1:39" ht="56.25" hidden="1" x14ac:dyDescent="0.3">
      <c r="A382" s="131" t="s">
        <v>16</v>
      </c>
      <c r="B382" s="122">
        <v>912</v>
      </c>
      <c r="C382" s="156">
        <v>13</v>
      </c>
      <c r="D382" s="91" t="s">
        <v>116</v>
      </c>
      <c r="E382" s="123" t="s">
        <v>32</v>
      </c>
      <c r="F382" s="91" t="s">
        <v>51</v>
      </c>
      <c r="G382" s="74">
        <f t="shared" si="17"/>
        <v>0</v>
      </c>
      <c r="H382" s="74">
        <f t="shared" si="17"/>
        <v>0</v>
      </c>
      <c r="I382" s="102"/>
    </row>
    <row r="383" spans="1:39" hidden="1" x14ac:dyDescent="0.3">
      <c r="A383" s="124" t="s">
        <v>417</v>
      </c>
      <c r="B383" s="122">
        <v>912</v>
      </c>
      <c r="C383" s="156">
        <v>13</v>
      </c>
      <c r="D383" s="91" t="s">
        <v>116</v>
      </c>
      <c r="E383" s="123" t="s">
        <v>45</v>
      </c>
      <c r="F383" s="91" t="s">
        <v>51</v>
      </c>
      <c r="G383" s="74">
        <f t="shared" si="17"/>
        <v>0</v>
      </c>
      <c r="H383" s="74">
        <f t="shared" si="17"/>
        <v>0</v>
      </c>
      <c r="I383" s="102"/>
    </row>
    <row r="384" spans="1:39" hidden="1" x14ac:dyDescent="0.3">
      <c r="A384" s="124" t="s">
        <v>190</v>
      </c>
      <c r="B384" s="122">
        <v>912</v>
      </c>
      <c r="C384" s="91" t="s">
        <v>191</v>
      </c>
      <c r="D384" s="105" t="s">
        <v>116</v>
      </c>
      <c r="E384" s="91" t="s">
        <v>194</v>
      </c>
      <c r="F384" s="91" t="s">
        <v>51</v>
      </c>
      <c r="G384" s="74">
        <f t="shared" si="17"/>
        <v>0</v>
      </c>
      <c r="H384" s="74">
        <f t="shared" si="17"/>
        <v>0</v>
      </c>
      <c r="I384" s="102"/>
    </row>
    <row r="385" spans="1:54" ht="37.5" hidden="1" x14ac:dyDescent="0.3">
      <c r="A385" s="124" t="s">
        <v>192</v>
      </c>
      <c r="B385" s="122">
        <v>912</v>
      </c>
      <c r="C385" s="91" t="s">
        <v>191</v>
      </c>
      <c r="D385" s="105" t="s">
        <v>116</v>
      </c>
      <c r="E385" s="91" t="s">
        <v>194</v>
      </c>
      <c r="F385" s="91" t="s">
        <v>193</v>
      </c>
      <c r="G385" s="74">
        <f>BA385</f>
        <v>0</v>
      </c>
      <c r="H385" s="74">
        <f>BB385</f>
        <v>0</v>
      </c>
      <c r="I385" s="102"/>
      <c r="K385" s="100">
        <v>1100</v>
      </c>
      <c r="AF385" s="100">
        <v>-1700</v>
      </c>
      <c r="AG385" s="100">
        <v>-300</v>
      </c>
      <c r="AI385" s="100">
        <v>13748</v>
      </c>
      <c r="AL385" s="102">
        <v>13748</v>
      </c>
      <c r="AM385" s="102">
        <v>13748</v>
      </c>
      <c r="AR385" s="101">
        <v>4519.5</v>
      </c>
      <c r="AT385" s="101">
        <v>4506.8999999999996</v>
      </c>
    </row>
    <row r="386" spans="1:54" ht="46.5" customHeight="1" x14ac:dyDescent="0.3">
      <c r="A386" s="115" t="s">
        <v>195</v>
      </c>
      <c r="B386" s="239">
        <v>918</v>
      </c>
      <c r="C386" s="242" t="s">
        <v>113</v>
      </c>
      <c r="D386" s="242" t="s">
        <v>113</v>
      </c>
      <c r="E386" s="242" t="s">
        <v>50</v>
      </c>
      <c r="F386" s="242" t="s">
        <v>51</v>
      </c>
      <c r="G386" s="241">
        <f>G387+X420</f>
        <v>15824.8</v>
      </c>
      <c r="H386" s="241">
        <f>H387+Y420</f>
        <v>15828.1</v>
      </c>
      <c r="I386" s="102"/>
    </row>
    <row r="387" spans="1:54" x14ac:dyDescent="0.3">
      <c r="A387" s="119" t="s">
        <v>130</v>
      </c>
      <c r="B387" s="118">
        <v>918</v>
      </c>
      <c r="C387" s="120" t="s">
        <v>131</v>
      </c>
      <c r="D387" s="120" t="s">
        <v>113</v>
      </c>
      <c r="E387" s="118" t="s">
        <v>50</v>
      </c>
      <c r="F387" s="114" t="s">
        <v>51</v>
      </c>
      <c r="G387" s="93">
        <f>G388</f>
        <v>15824.8</v>
      </c>
      <c r="H387" s="93">
        <f>H388</f>
        <v>15828.1</v>
      </c>
      <c r="I387" s="102"/>
    </row>
    <row r="388" spans="1:54" x14ac:dyDescent="0.3">
      <c r="A388" s="119" t="s">
        <v>196</v>
      </c>
      <c r="B388" s="118">
        <v>918</v>
      </c>
      <c r="C388" s="120" t="s">
        <v>131</v>
      </c>
      <c r="D388" s="120" t="s">
        <v>116</v>
      </c>
      <c r="E388" s="118" t="s">
        <v>50</v>
      </c>
      <c r="F388" s="114" t="s">
        <v>51</v>
      </c>
      <c r="G388" s="93">
        <f>G389+G418</f>
        <v>15824.8</v>
      </c>
      <c r="H388" s="93">
        <f>H389+H418</f>
        <v>15828.1</v>
      </c>
      <c r="I388" s="102"/>
    </row>
    <row r="389" spans="1:54" ht="44.25" customHeight="1" x14ac:dyDescent="0.3">
      <c r="A389" s="121" t="s">
        <v>159</v>
      </c>
      <c r="B389" s="122">
        <v>918</v>
      </c>
      <c r="C389" s="105" t="s">
        <v>131</v>
      </c>
      <c r="D389" s="105" t="s">
        <v>116</v>
      </c>
      <c r="E389" s="91" t="s">
        <v>86</v>
      </c>
      <c r="F389" s="91" t="s">
        <v>51</v>
      </c>
      <c r="G389" s="74">
        <f>G390+G405+G412+G415</f>
        <v>15824.8</v>
      </c>
      <c r="H389" s="74">
        <f>H390+H405+H412+H415</f>
        <v>15828.1</v>
      </c>
      <c r="I389" s="102"/>
    </row>
    <row r="390" spans="1:54" ht="55.5" customHeight="1" x14ac:dyDescent="0.3">
      <c r="A390" s="121" t="s">
        <v>144</v>
      </c>
      <c r="B390" s="122">
        <v>918</v>
      </c>
      <c r="C390" s="105" t="s">
        <v>131</v>
      </c>
      <c r="D390" s="105" t="s">
        <v>116</v>
      </c>
      <c r="E390" s="91" t="s">
        <v>88</v>
      </c>
      <c r="F390" s="91" t="s">
        <v>51</v>
      </c>
      <c r="G390" s="74">
        <f>G391+G400</f>
        <v>15696.9</v>
      </c>
      <c r="H390" s="74">
        <f>H391+H400</f>
        <v>15695.5</v>
      </c>
      <c r="I390" s="102"/>
    </row>
    <row r="391" spans="1:54" ht="37.5" x14ac:dyDescent="0.3">
      <c r="A391" s="124" t="s">
        <v>53</v>
      </c>
      <c r="B391" s="122">
        <v>918</v>
      </c>
      <c r="C391" s="105" t="s">
        <v>131</v>
      </c>
      <c r="D391" s="105" t="s">
        <v>116</v>
      </c>
      <c r="E391" s="91" t="s">
        <v>198</v>
      </c>
      <c r="F391" s="91" t="s">
        <v>51</v>
      </c>
      <c r="G391" s="74">
        <f>G392+G398</f>
        <v>15608.4</v>
      </c>
      <c r="H391" s="74">
        <f>H392+H398</f>
        <v>15607</v>
      </c>
      <c r="I391" s="102"/>
    </row>
    <row r="392" spans="1:54" x14ac:dyDescent="0.3">
      <c r="A392" s="124" t="s">
        <v>197</v>
      </c>
      <c r="B392" s="122">
        <v>918</v>
      </c>
      <c r="C392" s="105" t="s">
        <v>131</v>
      </c>
      <c r="D392" s="105" t="s">
        <v>116</v>
      </c>
      <c r="E392" s="91" t="s">
        <v>199</v>
      </c>
      <c r="F392" s="91" t="s">
        <v>51</v>
      </c>
      <c r="G392" s="74">
        <f>G393+G394+G395+G396</f>
        <v>15608.4</v>
      </c>
      <c r="H392" s="74">
        <f>H393+H394+H395+H396</f>
        <v>15607</v>
      </c>
      <c r="I392" s="102"/>
    </row>
    <row r="393" spans="1:54" ht="93.75" x14ac:dyDescent="0.3">
      <c r="A393" s="124" t="s">
        <v>57</v>
      </c>
      <c r="B393" s="122">
        <v>918</v>
      </c>
      <c r="C393" s="105" t="s">
        <v>131</v>
      </c>
      <c r="D393" s="105" t="s">
        <v>116</v>
      </c>
      <c r="E393" s="91" t="s">
        <v>199</v>
      </c>
      <c r="F393" s="91" t="s">
        <v>58</v>
      </c>
      <c r="G393" s="74">
        <v>13883.6</v>
      </c>
      <c r="H393" s="74">
        <v>13883.6</v>
      </c>
      <c r="I393" s="102"/>
      <c r="AI393" s="100">
        <v>9707.2999999999993</v>
      </c>
      <c r="AL393" s="102">
        <v>9707.2999999999993</v>
      </c>
      <c r="AM393" s="102">
        <v>9707.2999999999993</v>
      </c>
      <c r="AR393" s="101">
        <v>9411.5</v>
      </c>
      <c r="AT393" s="101">
        <v>9411.5</v>
      </c>
      <c r="BA393" s="227">
        <v>11284.7</v>
      </c>
      <c r="BB393" s="223">
        <v>11284.7</v>
      </c>
    </row>
    <row r="394" spans="1:54" ht="37.5" x14ac:dyDescent="0.3">
      <c r="A394" s="124" t="s">
        <v>433</v>
      </c>
      <c r="B394" s="122">
        <v>918</v>
      </c>
      <c r="C394" s="105" t="s">
        <v>131</v>
      </c>
      <c r="D394" s="105" t="s">
        <v>116</v>
      </c>
      <c r="E394" s="91" t="s">
        <v>199</v>
      </c>
      <c r="F394" s="91" t="s">
        <v>60</v>
      </c>
      <c r="G394" s="74">
        <f>357.3+1359.5</f>
        <v>1716.8</v>
      </c>
      <c r="H394" s="74">
        <f>1716.8-1.4</f>
        <v>1715.3999999999999</v>
      </c>
      <c r="I394" s="102"/>
      <c r="U394" s="100">
        <v>200</v>
      </c>
      <c r="AA394" s="100">
        <v>7.9</v>
      </c>
      <c r="AC394" s="100">
        <f>7.9+138.9</f>
        <v>146.80000000000001</v>
      </c>
      <c r="AF394" s="100">
        <v>-1.3580000000000001</v>
      </c>
      <c r="AI394" s="100">
        <v>1234</v>
      </c>
      <c r="AL394" s="102">
        <v>985.2</v>
      </c>
      <c r="AM394" s="102">
        <v>985.2</v>
      </c>
      <c r="AR394" s="101">
        <v>1193.8</v>
      </c>
      <c r="AT394" s="101">
        <v>1193.8</v>
      </c>
      <c r="BA394" s="227">
        <v>1366.4</v>
      </c>
      <c r="BB394" s="223">
        <v>1366.4</v>
      </c>
    </row>
    <row r="395" spans="1:54" ht="19.5" customHeight="1" x14ac:dyDescent="0.3">
      <c r="A395" s="124" t="s">
        <v>61</v>
      </c>
      <c r="B395" s="122">
        <v>918</v>
      </c>
      <c r="C395" s="105" t="s">
        <v>131</v>
      </c>
      <c r="D395" s="105" t="s">
        <v>116</v>
      </c>
      <c r="E395" s="91" t="s">
        <v>199</v>
      </c>
      <c r="F395" s="91" t="s">
        <v>62</v>
      </c>
      <c r="G395" s="74">
        <v>8</v>
      </c>
      <c r="H395" s="74">
        <v>8</v>
      </c>
      <c r="I395" s="102"/>
      <c r="AI395" s="100">
        <v>9.1999999999999993</v>
      </c>
      <c r="AR395" s="101">
        <v>8.8000000000000007</v>
      </c>
      <c r="AT395" s="101">
        <v>8.8000000000000007</v>
      </c>
      <c r="BA395" s="227">
        <v>8.4</v>
      </c>
      <c r="BB395" s="223">
        <v>8.4</v>
      </c>
    </row>
    <row r="396" spans="1:54" ht="37.5" hidden="1" x14ac:dyDescent="0.3">
      <c r="A396" s="125" t="s">
        <v>377</v>
      </c>
      <c r="B396" s="122">
        <v>918</v>
      </c>
      <c r="C396" s="105" t="s">
        <v>131</v>
      </c>
      <c r="D396" s="105" t="s">
        <v>116</v>
      </c>
      <c r="E396" s="91" t="s">
        <v>434</v>
      </c>
      <c r="F396" s="91" t="s">
        <v>51</v>
      </c>
      <c r="G396" s="74">
        <f>G397</f>
        <v>0</v>
      </c>
      <c r="H396" s="74">
        <f>H397</f>
        <v>0</v>
      </c>
      <c r="I396" s="102"/>
    </row>
    <row r="397" spans="1:54" ht="93.75" hidden="1" x14ac:dyDescent="0.3">
      <c r="A397" s="124" t="s">
        <v>57</v>
      </c>
      <c r="B397" s="122">
        <v>918</v>
      </c>
      <c r="C397" s="105" t="s">
        <v>131</v>
      </c>
      <c r="D397" s="105" t="s">
        <v>116</v>
      </c>
      <c r="E397" s="91" t="s">
        <v>434</v>
      </c>
      <c r="F397" s="91" t="s">
        <v>58</v>
      </c>
      <c r="G397" s="74">
        <v>0</v>
      </c>
      <c r="H397" s="74">
        <v>0</v>
      </c>
      <c r="I397" s="102"/>
      <c r="X397" s="100">
        <v>23.9</v>
      </c>
      <c r="AE397" s="100">
        <v>130.1</v>
      </c>
      <c r="AI397" s="100">
        <v>0</v>
      </c>
    </row>
    <row r="398" spans="1:54" ht="44.25" hidden="1" customHeight="1" x14ac:dyDescent="0.3">
      <c r="A398" s="125" t="s">
        <v>381</v>
      </c>
      <c r="B398" s="122">
        <v>918</v>
      </c>
      <c r="C398" s="105" t="s">
        <v>131</v>
      </c>
      <c r="D398" s="105" t="s">
        <v>116</v>
      </c>
      <c r="E398" s="91" t="s">
        <v>435</v>
      </c>
      <c r="F398" s="91" t="s">
        <v>51</v>
      </c>
      <c r="G398" s="74">
        <f>G399</f>
        <v>0</v>
      </c>
      <c r="H398" s="74">
        <f>H399</f>
        <v>0</v>
      </c>
      <c r="I398" s="102"/>
    </row>
    <row r="399" spans="1:54" ht="93.75" hidden="1" x14ac:dyDescent="0.3">
      <c r="A399" s="124" t="s">
        <v>57</v>
      </c>
      <c r="B399" s="122">
        <v>918</v>
      </c>
      <c r="C399" s="105" t="s">
        <v>131</v>
      </c>
      <c r="D399" s="105" t="s">
        <v>116</v>
      </c>
      <c r="E399" s="91" t="s">
        <v>435</v>
      </c>
      <c r="F399" s="91" t="s">
        <v>58</v>
      </c>
      <c r="G399" s="74">
        <v>0</v>
      </c>
      <c r="H399" s="74">
        <v>0</v>
      </c>
      <c r="I399" s="102"/>
    </row>
    <row r="400" spans="1:54" x14ac:dyDescent="0.3">
      <c r="A400" s="124" t="s">
        <v>63</v>
      </c>
      <c r="B400" s="122">
        <v>918</v>
      </c>
      <c r="C400" s="105" t="s">
        <v>131</v>
      </c>
      <c r="D400" s="105" t="s">
        <v>116</v>
      </c>
      <c r="E400" s="91" t="s">
        <v>200</v>
      </c>
      <c r="F400" s="91" t="s">
        <v>51</v>
      </c>
      <c r="G400" s="74">
        <f>G401+G403</f>
        <v>88.5</v>
      </c>
      <c r="H400" s="74">
        <f>H401+H403</f>
        <v>88.5</v>
      </c>
      <c r="I400" s="102"/>
    </row>
    <row r="401" spans="1:56" ht="24.75" customHeight="1" x14ac:dyDescent="0.3">
      <c r="A401" s="124" t="s">
        <v>76</v>
      </c>
      <c r="B401" s="122">
        <v>918</v>
      </c>
      <c r="C401" s="91" t="s">
        <v>131</v>
      </c>
      <c r="D401" s="91" t="s">
        <v>116</v>
      </c>
      <c r="E401" s="91" t="s">
        <v>201</v>
      </c>
      <c r="F401" s="91" t="s">
        <v>51</v>
      </c>
      <c r="G401" s="74">
        <f>G402</f>
        <v>88.5</v>
      </c>
      <c r="H401" s="74">
        <f>H402</f>
        <v>88.5</v>
      </c>
      <c r="I401" s="102"/>
    </row>
    <row r="402" spans="1:56" ht="37.5" x14ac:dyDescent="0.3">
      <c r="A402" s="124" t="s">
        <v>433</v>
      </c>
      <c r="B402" s="122">
        <v>918</v>
      </c>
      <c r="C402" s="105" t="s">
        <v>131</v>
      </c>
      <c r="D402" s="105" t="s">
        <v>116</v>
      </c>
      <c r="E402" s="91" t="s">
        <v>201</v>
      </c>
      <c r="F402" s="91" t="s">
        <v>60</v>
      </c>
      <c r="G402" s="74">
        <v>88.5</v>
      </c>
      <c r="H402" s="74">
        <v>88.5</v>
      </c>
      <c r="I402" s="102"/>
      <c r="S402" s="100">
        <v>40</v>
      </c>
      <c r="AA402" s="100">
        <v>10</v>
      </c>
      <c r="AI402" s="100">
        <v>88.5</v>
      </c>
      <c r="AL402" s="102">
        <v>0</v>
      </c>
      <c r="AM402" s="102">
        <v>0</v>
      </c>
      <c r="AR402" s="101">
        <v>88.5</v>
      </c>
      <c r="AT402" s="101">
        <v>88.5</v>
      </c>
      <c r="BA402" s="227">
        <v>88.5</v>
      </c>
      <c r="BB402" s="223">
        <v>88.5</v>
      </c>
    </row>
    <row r="403" spans="1:56" ht="25.5" hidden="1" customHeight="1" outlineLevel="1" x14ac:dyDescent="0.3">
      <c r="A403" s="124" t="s">
        <v>65</v>
      </c>
      <c r="B403" s="122">
        <v>918</v>
      </c>
      <c r="C403" s="105" t="s">
        <v>131</v>
      </c>
      <c r="D403" s="105" t="s">
        <v>116</v>
      </c>
      <c r="E403" s="91" t="s">
        <v>202</v>
      </c>
      <c r="F403" s="91" t="s">
        <v>51</v>
      </c>
      <c r="G403" s="74">
        <f>G404</f>
        <v>0</v>
      </c>
      <c r="H403" s="74">
        <f>H404</f>
        <v>0</v>
      </c>
      <c r="I403" s="102"/>
    </row>
    <row r="404" spans="1:56" ht="37.5" hidden="1" outlineLevel="1" x14ac:dyDescent="0.3">
      <c r="A404" s="124" t="s">
        <v>59</v>
      </c>
      <c r="B404" s="122">
        <v>918</v>
      </c>
      <c r="C404" s="105" t="s">
        <v>131</v>
      </c>
      <c r="D404" s="105" t="s">
        <v>116</v>
      </c>
      <c r="E404" s="91" t="s">
        <v>202</v>
      </c>
      <c r="F404" s="91" t="s">
        <v>60</v>
      </c>
      <c r="G404" s="74"/>
      <c r="H404" s="74"/>
      <c r="I404" s="102"/>
    </row>
    <row r="405" spans="1:56" hidden="1" x14ac:dyDescent="0.3">
      <c r="A405" s="124" t="s">
        <v>417</v>
      </c>
      <c r="B405" s="122">
        <v>918</v>
      </c>
      <c r="C405" s="105" t="s">
        <v>131</v>
      </c>
      <c r="D405" s="105" t="s">
        <v>116</v>
      </c>
      <c r="E405" s="91" t="s">
        <v>91</v>
      </c>
      <c r="F405" s="91" t="s">
        <v>51</v>
      </c>
      <c r="G405" s="74">
        <f>G406</f>
        <v>0</v>
      </c>
      <c r="H405" s="74">
        <f>H406</f>
        <v>0</v>
      </c>
      <c r="I405" s="102"/>
    </row>
    <row r="406" spans="1:56" hidden="1" x14ac:dyDescent="0.3">
      <c r="A406" s="130" t="s">
        <v>63</v>
      </c>
      <c r="B406" s="127">
        <v>918</v>
      </c>
      <c r="C406" s="155" t="s">
        <v>131</v>
      </c>
      <c r="D406" s="155" t="s">
        <v>116</v>
      </c>
      <c r="E406" s="128" t="s">
        <v>313</v>
      </c>
      <c r="F406" s="128" t="s">
        <v>51</v>
      </c>
      <c r="G406" s="74"/>
      <c r="H406" s="74"/>
      <c r="I406" s="102"/>
    </row>
    <row r="407" spans="1:56" ht="37.5" hidden="1" x14ac:dyDescent="0.3">
      <c r="A407" s="130" t="s">
        <v>391</v>
      </c>
      <c r="B407" s="127">
        <v>918</v>
      </c>
      <c r="C407" s="155" t="s">
        <v>131</v>
      </c>
      <c r="D407" s="155" t="s">
        <v>116</v>
      </c>
      <c r="E407" s="128" t="s">
        <v>392</v>
      </c>
      <c r="F407" s="128" t="s">
        <v>51</v>
      </c>
      <c r="G407" s="74">
        <f>G408</f>
        <v>0</v>
      </c>
      <c r="H407" s="74">
        <f>H408</f>
        <v>0</v>
      </c>
      <c r="I407" s="102"/>
    </row>
    <row r="408" spans="1:56" ht="37.5" hidden="1" x14ac:dyDescent="0.3">
      <c r="A408" s="124" t="s">
        <v>433</v>
      </c>
      <c r="B408" s="127">
        <v>918</v>
      </c>
      <c r="C408" s="155" t="s">
        <v>131</v>
      </c>
      <c r="D408" s="155" t="s">
        <v>116</v>
      </c>
      <c r="E408" s="128" t="s">
        <v>392</v>
      </c>
      <c r="F408" s="128" t="s">
        <v>60</v>
      </c>
      <c r="G408" s="74">
        <v>0</v>
      </c>
      <c r="H408" s="74">
        <v>0</v>
      </c>
      <c r="I408" s="102"/>
    </row>
    <row r="409" spans="1:56" hidden="1" x14ac:dyDescent="0.3">
      <c r="A409" s="130" t="s">
        <v>443</v>
      </c>
      <c r="B409" s="127">
        <v>918</v>
      </c>
      <c r="C409" s="155" t="s">
        <v>131</v>
      </c>
      <c r="D409" s="155" t="s">
        <v>116</v>
      </c>
      <c r="E409" s="128" t="s">
        <v>444</v>
      </c>
      <c r="F409" s="128" t="s">
        <v>51</v>
      </c>
      <c r="G409" s="74">
        <f>G410+G411</f>
        <v>0</v>
      </c>
      <c r="H409" s="74">
        <f>H410+H411</f>
        <v>0</v>
      </c>
      <c r="I409" s="102"/>
    </row>
    <row r="410" spans="1:56" ht="93.75" hidden="1" x14ac:dyDescent="0.3">
      <c r="A410" s="130" t="s">
        <v>57</v>
      </c>
      <c r="B410" s="127">
        <v>918</v>
      </c>
      <c r="C410" s="155" t="s">
        <v>131</v>
      </c>
      <c r="D410" s="155" t="s">
        <v>116</v>
      </c>
      <c r="E410" s="128" t="s">
        <v>444</v>
      </c>
      <c r="F410" s="128" t="s">
        <v>58</v>
      </c>
      <c r="G410" s="74">
        <v>0</v>
      </c>
      <c r="H410" s="74">
        <v>0</v>
      </c>
      <c r="I410" s="102"/>
    </row>
    <row r="411" spans="1:56" ht="37.5" hidden="1" x14ac:dyDescent="0.3">
      <c r="A411" s="124" t="s">
        <v>433</v>
      </c>
      <c r="B411" s="127">
        <v>918</v>
      </c>
      <c r="C411" s="155" t="s">
        <v>131</v>
      </c>
      <c r="D411" s="155" t="s">
        <v>116</v>
      </c>
      <c r="E411" s="128" t="s">
        <v>444</v>
      </c>
      <c r="F411" s="128" t="s">
        <v>60</v>
      </c>
      <c r="G411" s="74">
        <v>0</v>
      </c>
      <c r="H411" s="74">
        <v>0</v>
      </c>
      <c r="I411" s="102"/>
    </row>
    <row r="412" spans="1:56" ht="56.25" hidden="1" x14ac:dyDescent="0.3">
      <c r="A412" s="124" t="s">
        <v>492</v>
      </c>
      <c r="B412" s="127">
        <v>918</v>
      </c>
      <c r="C412" s="155" t="s">
        <v>131</v>
      </c>
      <c r="D412" s="155" t="s">
        <v>116</v>
      </c>
      <c r="E412" s="128" t="s">
        <v>493</v>
      </c>
      <c r="F412" s="128" t="s">
        <v>51</v>
      </c>
      <c r="G412" s="74">
        <f>G413+G414</f>
        <v>0</v>
      </c>
      <c r="H412" s="74">
        <f>H413+H414</f>
        <v>0</v>
      </c>
      <c r="I412" s="102"/>
    </row>
    <row r="413" spans="1:56" ht="93.75" hidden="1" x14ac:dyDescent="0.3">
      <c r="A413" s="124" t="s">
        <v>57</v>
      </c>
      <c r="B413" s="127">
        <v>918</v>
      </c>
      <c r="C413" s="155" t="s">
        <v>131</v>
      </c>
      <c r="D413" s="155" t="s">
        <v>116</v>
      </c>
      <c r="E413" s="128" t="s">
        <v>493</v>
      </c>
      <c r="F413" s="128" t="s">
        <v>58</v>
      </c>
      <c r="G413" s="74">
        <v>0</v>
      </c>
      <c r="H413" s="74">
        <v>0</v>
      </c>
      <c r="I413" s="102"/>
      <c r="K413" s="100">
        <v>1.0409999999999999</v>
      </c>
      <c r="AI413" s="100">
        <v>0</v>
      </c>
    </row>
    <row r="414" spans="1:56" ht="37.5" hidden="1" x14ac:dyDescent="0.3">
      <c r="A414" s="124" t="s">
        <v>433</v>
      </c>
      <c r="B414" s="127">
        <v>918</v>
      </c>
      <c r="C414" s="155" t="s">
        <v>131</v>
      </c>
      <c r="D414" s="155" t="s">
        <v>116</v>
      </c>
      <c r="E414" s="128" t="s">
        <v>493</v>
      </c>
      <c r="F414" s="128" t="s">
        <v>60</v>
      </c>
      <c r="G414" s="74">
        <v>0</v>
      </c>
      <c r="H414" s="74">
        <v>0</v>
      </c>
      <c r="I414" s="102"/>
      <c r="K414" s="100">
        <v>10.416</v>
      </c>
      <c r="AI414" s="100">
        <v>0</v>
      </c>
    </row>
    <row r="415" spans="1:56" x14ac:dyDescent="0.3">
      <c r="A415" s="124" t="s">
        <v>393</v>
      </c>
      <c r="B415" s="127">
        <v>918</v>
      </c>
      <c r="C415" s="105" t="s">
        <v>131</v>
      </c>
      <c r="D415" s="105" t="s">
        <v>116</v>
      </c>
      <c r="E415" s="10" t="s">
        <v>835</v>
      </c>
      <c r="F415" s="91" t="s">
        <v>51</v>
      </c>
      <c r="G415" s="74">
        <f>G416</f>
        <v>127.89999999999999</v>
      </c>
      <c r="H415" s="74">
        <f>H416</f>
        <v>132.6</v>
      </c>
      <c r="I415" s="102"/>
    </row>
    <row r="416" spans="1:56" ht="37.5" x14ac:dyDescent="0.3">
      <c r="A416" s="124" t="s">
        <v>433</v>
      </c>
      <c r="B416" s="127">
        <v>918</v>
      </c>
      <c r="C416" s="105" t="s">
        <v>131</v>
      </c>
      <c r="D416" s="105" t="s">
        <v>116</v>
      </c>
      <c r="E416" s="10" t="s">
        <v>835</v>
      </c>
      <c r="F416" s="91" t="s">
        <v>60</v>
      </c>
      <c r="G416" s="74">
        <f>130.2+1.4-3.7</f>
        <v>127.89999999999999</v>
      </c>
      <c r="H416" s="74">
        <f>131.2+1.4</f>
        <v>132.6</v>
      </c>
      <c r="I416" s="102"/>
      <c r="AE416" s="100">
        <v>134.41999999999999</v>
      </c>
      <c r="AF416" s="100">
        <v>1.3580000000000001</v>
      </c>
      <c r="AI416" s="100">
        <v>134.69999999999999</v>
      </c>
      <c r="AL416" s="102">
        <v>134.69999999999999</v>
      </c>
      <c r="AM416" s="102">
        <v>134.69999999999999</v>
      </c>
      <c r="AR416" s="101">
        <v>1.5</v>
      </c>
      <c r="AS416" s="101">
        <v>146.30000000000001</v>
      </c>
      <c r="AY416" s="100">
        <v>1.5</v>
      </c>
      <c r="AZ416" s="100">
        <v>145.80000000000001</v>
      </c>
      <c r="BC416" s="236">
        <v>127</v>
      </c>
      <c r="BD416" s="237">
        <v>130.1</v>
      </c>
    </row>
    <row r="417" spans="1:35" ht="56.25" hidden="1" x14ac:dyDescent="0.3">
      <c r="A417" s="121" t="s">
        <v>162</v>
      </c>
      <c r="B417" s="122">
        <v>905</v>
      </c>
      <c r="C417" s="155" t="s">
        <v>131</v>
      </c>
      <c r="D417" s="155" t="s">
        <v>116</v>
      </c>
      <c r="E417" s="91" t="s">
        <v>100</v>
      </c>
      <c r="F417" s="91" t="s">
        <v>51</v>
      </c>
      <c r="G417" s="74">
        <f>G418</f>
        <v>0</v>
      </c>
      <c r="H417" s="74">
        <f>H418</f>
        <v>0</v>
      </c>
      <c r="I417" s="102"/>
    </row>
    <row r="418" spans="1:35" ht="56.25" hidden="1" x14ac:dyDescent="0.3">
      <c r="A418" s="124" t="s">
        <v>466</v>
      </c>
      <c r="B418" s="122">
        <v>918</v>
      </c>
      <c r="C418" s="155" t="s">
        <v>131</v>
      </c>
      <c r="D418" s="155" t="s">
        <v>116</v>
      </c>
      <c r="E418" s="91" t="s">
        <v>29</v>
      </c>
      <c r="F418" s="91" t="s">
        <v>51</v>
      </c>
      <c r="G418" s="74">
        <f>G419+G422+G425</f>
        <v>0</v>
      </c>
      <c r="H418" s="74">
        <f>H419+H422+H425</f>
        <v>0</v>
      </c>
      <c r="I418" s="102"/>
    </row>
    <row r="419" spans="1:35" ht="75" hidden="1" x14ac:dyDescent="0.3">
      <c r="A419" s="124" t="s">
        <v>252</v>
      </c>
      <c r="B419" s="122">
        <v>918</v>
      </c>
      <c r="C419" s="155" t="s">
        <v>131</v>
      </c>
      <c r="D419" s="155" t="s">
        <v>116</v>
      </c>
      <c r="E419" s="91" t="s">
        <v>257</v>
      </c>
      <c r="F419" s="91" t="s">
        <v>51</v>
      </c>
      <c r="G419" s="74">
        <f>G420</f>
        <v>0</v>
      </c>
      <c r="H419" s="74">
        <f>H420</f>
        <v>0</v>
      </c>
      <c r="I419" s="102"/>
    </row>
    <row r="420" spans="1:35" ht="56.25" hidden="1" x14ac:dyDescent="0.3">
      <c r="A420" s="124" t="s">
        <v>256</v>
      </c>
      <c r="B420" s="122">
        <v>918</v>
      </c>
      <c r="C420" s="155" t="s">
        <v>131</v>
      </c>
      <c r="D420" s="155" t="s">
        <v>116</v>
      </c>
      <c r="E420" s="91" t="s">
        <v>258</v>
      </c>
      <c r="F420" s="91" t="s">
        <v>51</v>
      </c>
      <c r="G420" s="74">
        <f>G421</f>
        <v>0</v>
      </c>
      <c r="H420" s="74">
        <f>H421</f>
        <v>0</v>
      </c>
      <c r="I420" s="102"/>
    </row>
    <row r="421" spans="1:35" ht="131.25" hidden="1" x14ac:dyDescent="0.3">
      <c r="A421" s="124" t="s">
        <v>563</v>
      </c>
      <c r="B421" s="122">
        <v>918</v>
      </c>
      <c r="C421" s="155" t="s">
        <v>131</v>
      </c>
      <c r="D421" s="155" t="s">
        <v>116</v>
      </c>
      <c r="E421" s="91" t="s">
        <v>562</v>
      </c>
      <c r="F421" s="91" t="s">
        <v>60</v>
      </c>
      <c r="G421" s="74">
        <v>0</v>
      </c>
      <c r="H421" s="74">
        <v>0</v>
      </c>
      <c r="I421" s="102">
        <v>549</v>
      </c>
      <c r="AE421" s="103">
        <v>-77.443669999999997</v>
      </c>
      <c r="AI421" s="100">
        <v>0</v>
      </c>
    </row>
    <row r="422" spans="1:35" hidden="1" x14ac:dyDescent="0.3">
      <c r="A422" s="124" t="s">
        <v>63</v>
      </c>
      <c r="B422" s="122">
        <v>918</v>
      </c>
      <c r="C422" s="155" t="s">
        <v>131</v>
      </c>
      <c r="D422" s="155" t="s">
        <v>116</v>
      </c>
      <c r="E422" s="91" t="s">
        <v>254</v>
      </c>
      <c r="F422" s="91" t="s">
        <v>51</v>
      </c>
      <c r="G422" s="74">
        <f>G423</f>
        <v>0</v>
      </c>
      <c r="H422" s="74">
        <f>H423</f>
        <v>0</v>
      </c>
      <c r="I422" s="102"/>
    </row>
    <row r="423" spans="1:35" ht="37.5" hidden="1" x14ac:dyDescent="0.3">
      <c r="A423" s="130" t="s">
        <v>65</v>
      </c>
      <c r="B423" s="122">
        <v>918</v>
      </c>
      <c r="C423" s="155" t="s">
        <v>131</v>
      </c>
      <c r="D423" s="155" t="s">
        <v>116</v>
      </c>
      <c r="E423" s="91" t="s">
        <v>255</v>
      </c>
      <c r="F423" s="91" t="s">
        <v>51</v>
      </c>
      <c r="G423" s="74">
        <f>G424</f>
        <v>0</v>
      </c>
      <c r="H423" s="74">
        <f>H424</f>
        <v>0</v>
      </c>
      <c r="I423" s="102"/>
    </row>
    <row r="424" spans="1:35" ht="93.75" hidden="1" x14ac:dyDescent="0.3">
      <c r="A424" s="124" t="s">
        <v>564</v>
      </c>
      <c r="B424" s="122">
        <v>918</v>
      </c>
      <c r="C424" s="155" t="s">
        <v>131</v>
      </c>
      <c r="D424" s="155" t="s">
        <v>116</v>
      </c>
      <c r="E424" s="91" t="s">
        <v>561</v>
      </c>
      <c r="F424" s="91" t="s">
        <v>60</v>
      </c>
      <c r="G424" s="74">
        <v>0</v>
      </c>
      <c r="H424" s="74">
        <v>0</v>
      </c>
      <c r="I424" s="102"/>
      <c r="K424" s="100">
        <v>111</v>
      </c>
      <c r="AI424" s="100">
        <v>0</v>
      </c>
    </row>
    <row r="425" spans="1:35" ht="56.25" hidden="1" x14ac:dyDescent="0.3">
      <c r="A425" s="124" t="s">
        <v>256</v>
      </c>
      <c r="B425" s="122">
        <v>918</v>
      </c>
      <c r="C425" s="155" t="s">
        <v>131</v>
      </c>
      <c r="D425" s="155" t="s">
        <v>116</v>
      </c>
      <c r="E425" s="91" t="s">
        <v>259</v>
      </c>
      <c r="F425" s="91" t="s">
        <v>51</v>
      </c>
      <c r="G425" s="74">
        <f>G426</f>
        <v>0</v>
      </c>
      <c r="H425" s="74">
        <f>H426</f>
        <v>0</v>
      </c>
      <c r="I425" s="102"/>
    </row>
    <row r="426" spans="1:35" ht="120" hidden="1" customHeight="1" outlineLevel="1" x14ac:dyDescent="0.3">
      <c r="A426" s="124" t="s">
        <v>563</v>
      </c>
      <c r="B426" s="122">
        <v>918</v>
      </c>
      <c r="C426" s="155" t="s">
        <v>131</v>
      </c>
      <c r="D426" s="155" t="s">
        <v>116</v>
      </c>
      <c r="E426" s="91" t="s">
        <v>554</v>
      </c>
      <c r="F426" s="91" t="s">
        <v>60</v>
      </c>
      <c r="G426" s="74">
        <v>0</v>
      </c>
      <c r="H426" s="74">
        <v>0</v>
      </c>
      <c r="I426" s="102"/>
      <c r="K426" s="100">
        <v>75.554000000000002</v>
      </c>
      <c r="AI426" s="100">
        <v>0</v>
      </c>
    </row>
    <row r="427" spans="1:35" hidden="1" outlineLevel="1" x14ac:dyDescent="0.3">
      <c r="A427" s="119" t="s">
        <v>172</v>
      </c>
      <c r="B427" s="118">
        <v>918</v>
      </c>
      <c r="C427" s="120" t="s">
        <v>170</v>
      </c>
      <c r="D427" s="120" t="s">
        <v>122</v>
      </c>
      <c r="E427" s="118" t="s">
        <v>50</v>
      </c>
      <c r="F427" s="114" t="s">
        <v>51</v>
      </c>
      <c r="G427" s="93">
        <f t="shared" ref="G427:H431" si="18">G428</f>
        <v>0</v>
      </c>
      <c r="H427" s="93">
        <f t="shared" si="18"/>
        <v>0</v>
      </c>
      <c r="I427" s="102"/>
    </row>
    <row r="428" spans="1:35" ht="40.5" hidden="1" customHeight="1" outlineLevel="1" x14ac:dyDescent="0.3">
      <c r="A428" s="121" t="s">
        <v>159</v>
      </c>
      <c r="B428" s="122">
        <v>918</v>
      </c>
      <c r="C428" s="105" t="s">
        <v>170</v>
      </c>
      <c r="D428" s="105" t="s">
        <v>122</v>
      </c>
      <c r="E428" s="91" t="s">
        <v>86</v>
      </c>
      <c r="F428" s="91" t="s">
        <v>51</v>
      </c>
      <c r="G428" s="74">
        <f t="shared" si="18"/>
        <v>0</v>
      </c>
      <c r="H428" s="74">
        <f t="shared" si="18"/>
        <v>0</v>
      </c>
      <c r="I428" s="102"/>
    </row>
    <row r="429" spans="1:35" ht="59.25" hidden="1" customHeight="1" outlineLevel="1" x14ac:dyDescent="0.3">
      <c r="A429" s="121" t="s">
        <v>144</v>
      </c>
      <c r="B429" s="122">
        <v>918</v>
      </c>
      <c r="C429" s="105" t="s">
        <v>170</v>
      </c>
      <c r="D429" s="105" t="s">
        <v>122</v>
      </c>
      <c r="E429" s="91" t="s">
        <v>88</v>
      </c>
      <c r="F429" s="91" t="s">
        <v>51</v>
      </c>
      <c r="G429" s="74">
        <f t="shared" si="18"/>
        <v>0</v>
      </c>
      <c r="H429" s="74">
        <f t="shared" si="18"/>
        <v>0</v>
      </c>
      <c r="I429" s="102"/>
    </row>
    <row r="430" spans="1:35" ht="37.5" hidden="1" outlineLevel="1" x14ac:dyDescent="0.3">
      <c r="A430" s="124" t="s">
        <v>53</v>
      </c>
      <c r="B430" s="122">
        <v>918</v>
      </c>
      <c r="C430" s="105" t="s">
        <v>170</v>
      </c>
      <c r="D430" s="105" t="s">
        <v>122</v>
      </c>
      <c r="E430" s="91" t="s">
        <v>198</v>
      </c>
      <c r="F430" s="91" t="s">
        <v>51</v>
      </c>
      <c r="G430" s="74">
        <f t="shared" si="18"/>
        <v>0</v>
      </c>
      <c r="H430" s="74">
        <f t="shared" si="18"/>
        <v>0</v>
      </c>
      <c r="I430" s="102"/>
    </row>
    <row r="431" spans="1:35" hidden="1" outlineLevel="1" x14ac:dyDescent="0.3">
      <c r="A431" s="124" t="s">
        <v>197</v>
      </c>
      <c r="B431" s="122">
        <v>918</v>
      </c>
      <c r="C431" s="105" t="s">
        <v>170</v>
      </c>
      <c r="D431" s="105" t="s">
        <v>122</v>
      </c>
      <c r="E431" s="91" t="s">
        <v>199</v>
      </c>
      <c r="F431" s="91" t="s">
        <v>51</v>
      </c>
      <c r="G431" s="74">
        <f t="shared" si="18"/>
        <v>0</v>
      </c>
      <c r="H431" s="74">
        <f t="shared" si="18"/>
        <v>0</v>
      </c>
      <c r="I431" s="102"/>
    </row>
    <row r="432" spans="1:35" ht="93.75" hidden="1" outlineLevel="1" x14ac:dyDescent="0.3">
      <c r="A432" s="124" t="s">
        <v>57</v>
      </c>
      <c r="B432" s="122">
        <v>918</v>
      </c>
      <c r="C432" s="105" t="s">
        <v>170</v>
      </c>
      <c r="D432" s="105" t="s">
        <v>122</v>
      </c>
      <c r="E432" s="91" t="s">
        <v>199</v>
      </c>
      <c r="F432" s="91" t="s">
        <v>58</v>
      </c>
      <c r="G432" s="74">
        <f>0.7-0.7</f>
        <v>0</v>
      </c>
      <c r="H432" s="74">
        <f>0.7-0.7</f>
        <v>0</v>
      </c>
      <c r="I432" s="102"/>
    </row>
    <row r="433" spans="1:54" ht="56.25" collapsed="1" x14ac:dyDescent="0.3">
      <c r="A433" s="115" t="s">
        <v>351</v>
      </c>
      <c r="B433" s="239">
        <v>936</v>
      </c>
      <c r="C433" s="242" t="s">
        <v>113</v>
      </c>
      <c r="D433" s="242" t="s">
        <v>113</v>
      </c>
      <c r="E433" s="242" t="s">
        <v>50</v>
      </c>
      <c r="F433" s="242" t="s">
        <v>51</v>
      </c>
      <c r="G433" s="241">
        <f>G434+G561+G616+G787+G923+G944+G1049+G1114+G1195+G1237</f>
        <v>330357.58</v>
      </c>
      <c r="H433" s="241">
        <f>H434+H561+H616+H787+H923+H944+H1049+H1114+H1195+H1237</f>
        <v>331776.38000000006</v>
      </c>
      <c r="I433" s="102"/>
      <c r="AR433" s="101">
        <v>0</v>
      </c>
    </row>
    <row r="434" spans="1:54" x14ac:dyDescent="0.3">
      <c r="A434" s="113" t="s">
        <v>115</v>
      </c>
      <c r="B434" s="118">
        <v>936</v>
      </c>
      <c r="C434" s="114" t="s">
        <v>116</v>
      </c>
      <c r="D434" s="114" t="s">
        <v>113</v>
      </c>
      <c r="E434" s="114" t="s">
        <v>50</v>
      </c>
      <c r="F434" s="114" t="s">
        <v>51</v>
      </c>
      <c r="G434" s="93">
        <f>G435+G443+G472+G484+G477</f>
        <v>56754.31</v>
      </c>
      <c r="H434" s="93">
        <f>H435+H443+H472+H484</f>
        <v>59901.56</v>
      </c>
      <c r="I434" s="102"/>
    </row>
    <row r="435" spans="1:54" ht="60" customHeight="1" x14ac:dyDescent="0.3">
      <c r="A435" s="113" t="s">
        <v>203</v>
      </c>
      <c r="B435" s="118">
        <v>936</v>
      </c>
      <c r="C435" s="114" t="s">
        <v>116</v>
      </c>
      <c r="D435" s="114" t="s">
        <v>117</v>
      </c>
      <c r="E435" s="114" t="s">
        <v>50</v>
      </c>
      <c r="F435" s="114" t="s">
        <v>51</v>
      </c>
      <c r="G435" s="93">
        <f t="shared" ref="G435:H438" si="19">G436</f>
        <v>1786.1</v>
      </c>
      <c r="H435" s="93">
        <f t="shared" si="19"/>
        <v>1786.1</v>
      </c>
      <c r="I435" s="102"/>
    </row>
    <row r="436" spans="1:54" ht="56.25" x14ac:dyDescent="0.3">
      <c r="A436" s="131" t="s">
        <v>16</v>
      </c>
      <c r="B436" s="122">
        <v>936</v>
      </c>
      <c r="C436" s="91" t="s">
        <v>116</v>
      </c>
      <c r="D436" s="91" t="s">
        <v>117</v>
      </c>
      <c r="E436" s="123" t="s">
        <v>204</v>
      </c>
      <c r="F436" s="91" t="s">
        <v>51</v>
      </c>
      <c r="G436" s="74">
        <f t="shared" si="19"/>
        <v>1786.1</v>
      </c>
      <c r="H436" s="74">
        <f t="shared" si="19"/>
        <v>1786.1</v>
      </c>
      <c r="I436" s="102"/>
    </row>
    <row r="437" spans="1:54" ht="39.75" customHeight="1" x14ac:dyDescent="0.3">
      <c r="A437" s="125" t="s">
        <v>18</v>
      </c>
      <c r="B437" s="122">
        <v>936</v>
      </c>
      <c r="C437" s="91" t="s">
        <v>116</v>
      </c>
      <c r="D437" s="91" t="s">
        <v>117</v>
      </c>
      <c r="E437" s="123" t="s">
        <v>205</v>
      </c>
      <c r="F437" s="91" t="s">
        <v>51</v>
      </c>
      <c r="G437" s="74">
        <f t="shared" si="19"/>
        <v>1786.1</v>
      </c>
      <c r="H437" s="74">
        <f t="shared" si="19"/>
        <v>1786.1</v>
      </c>
      <c r="I437" s="102"/>
    </row>
    <row r="438" spans="1:54" ht="77.25" customHeight="1" x14ac:dyDescent="0.3">
      <c r="A438" s="124" t="s">
        <v>104</v>
      </c>
      <c r="B438" s="122">
        <v>936</v>
      </c>
      <c r="C438" s="91" t="s">
        <v>116</v>
      </c>
      <c r="D438" s="91" t="s">
        <v>117</v>
      </c>
      <c r="E438" s="123" t="s">
        <v>36</v>
      </c>
      <c r="F438" s="91" t="s">
        <v>51</v>
      </c>
      <c r="G438" s="74">
        <f t="shared" si="19"/>
        <v>1786.1</v>
      </c>
      <c r="H438" s="74">
        <f t="shared" si="19"/>
        <v>1786.1</v>
      </c>
      <c r="I438" s="102"/>
    </row>
    <row r="439" spans="1:54" x14ac:dyDescent="0.3">
      <c r="A439" s="124" t="s">
        <v>206</v>
      </c>
      <c r="B439" s="122">
        <v>936</v>
      </c>
      <c r="C439" s="91" t="s">
        <v>116</v>
      </c>
      <c r="D439" s="91" t="s">
        <v>117</v>
      </c>
      <c r="E439" s="123" t="s">
        <v>364</v>
      </c>
      <c r="F439" s="91" t="s">
        <v>51</v>
      </c>
      <c r="G439" s="74">
        <f>G440+G441</f>
        <v>1786.1</v>
      </c>
      <c r="H439" s="74">
        <f>H440+H441</f>
        <v>1786.1</v>
      </c>
      <c r="I439" s="102"/>
    </row>
    <row r="440" spans="1:54" ht="93.75" x14ac:dyDescent="0.3">
      <c r="A440" s="124" t="s">
        <v>57</v>
      </c>
      <c r="B440" s="122">
        <v>936</v>
      </c>
      <c r="C440" s="91" t="s">
        <v>116</v>
      </c>
      <c r="D440" s="91" t="s">
        <v>117</v>
      </c>
      <c r="E440" s="157" t="s">
        <v>207</v>
      </c>
      <c r="F440" s="123" t="s">
        <v>58</v>
      </c>
      <c r="G440" s="74">
        <v>1786.1</v>
      </c>
      <c r="H440" s="74">
        <v>1786.1</v>
      </c>
      <c r="I440" s="102"/>
      <c r="AI440" s="100">
        <v>1443.7</v>
      </c>
      <c r="AL440" s="102">
        <v>1443.7</v>
      </c>
      <c r="AM440" s="102">
        <v>1443.7</v>
      </c>
      <c r="AR440" s="101">
        <v>1618.4</v>
      </c>
      <c r="AT440" s="101">
        <v>1618.4</v>
      </c>
      <c r="BA440" s="227">
        <v>1786.1</v>
      </c>
      <c r="BB440" s="223">
        <v>1786.1</v>
      </c>
    </row>
    <row r="441" spans="1:54" ht="37.5" hidden="1" x14ac:dyDescent="0.3">
      <c r="A441" s="125" t="s">
        <v>377</v>
      </c>
      <c r="B441" s="122">
        <v>936</v>
      </c>
      <c r="C441" s="91" t="s">
        <v>116</v>
      </c>
      <c r="D441" s="91" t="s">
        <v>117</v>
      </c>
      <c r="E441" s="157" t="s">
        <v>522</v>
      </c>
      <c r="F441" s="123" t="s">
        <v>51</v>
      </c>
      <c r="G441" s="74">
        <f>G442</f>
        <v>0</v>
      </c>
      <c r="H441" s="74">
        <f>H442</f>
        <v>0</v>
      </c>
      <c r="I441" s="102"/>
    </row>
    <row r="442" spans="1:54" ht="93.75" hidden="1" x14ac:dyDescent="0.3">
      <c r="A442" s="124" t="s">
        <v>57</v>
      </c>
      <c r="B442" s="122">
        <v>936</v>
      </c>
      <c r="C442" s="91" t="s">
        <v>116</v>
      </c>
      <c r="D442" s="91" t="s">
        <v>117</v>
      </c>
      <c r="E442" s="157" t="s">
        <v>522</v>
      </c>
      <c r="F442" s="123" t="s">
        <v>58</v>
      </c>
      <c r="G442" s="74">
        <v>0</v>
      </c>
      <c r="H442" s="74">
        <v>0</v>
      </c>
      <c r="I442" s="102"/>
      <c r="AE442" s="100">
        <v>95.8</v>
      </c>
      <c r="AI442" s="100">
        <v>0</v>
      </c>
    </row>
    <row r="443" spans="1:54" ht="75" x14ac:dyDescent="0.3">
      <c r="A443" s="113" t="s">
        <v>121</v>
      </c>
      <c r="B443" s="118">
        <v>936</v>
      </c>
      <c r="C443" s="114" t="s">
        <v>116</v>
      </c>
      <c r="D443" s="114" t="s">
        <v>122</v>
      </c>
      <c r="E443" s="114" t="s">
        <v>50</v>
      </c>
      <c r="F443" s="114" t="s">
        <v>51</v>
      </c>
      <c r="G443" s="93">
        <f>G444+G458</f>
        <v>39114.699999999997</v>
      </c>
      <c r="H443" s="93">
        <f>H444+H458</f>
        <v>38801.699999999997</v>
      </c>
      <c r="I443" s="102"/>
    </row>
    <row r="444" spans="1:54" ht="56.25" x14ac:dyDescent="0.3">
      <c r="A444" s="121" t="s">
        <v>0</v>
      </c>
      <c r="B444" s="122">
        <v>936</v>
      </c>
      <c r="C444" s="91" t="s">
        <v>116</v>
      </c>
      <c r="D444" s="91" t="s">
        <v>122</v>
      </c>
      <c r="E444" s="123" t="s">
        <v>93</v>
      </c>
      <c r="F444" s="91" t="s">
        <v>51</v>
      </c>
      <c r="G444" s="74">
        <f>G445+G453</f>
        <v>3486</v>
      </c>
      <c r="H444" s="74">
        <f>H445+H453</f>
        <v>3173</v>
      </c>
      <c r="I444" s="102"/>
    </row>
    <row r="445" spans="1:54" ht="44.25" customHeight="1" x14ac:dyDescent="0.3">
      <c r="A445" s="121" t="s">
        <v>1</v>
      </c>
      <c r="B445" s="122">
        <v>936</v>
      </c>
      <c r="C445" s="91" t="s">
        <v>116</v>
      </c>
      <c r="D445" s="91" t="s">
        <v>122</v>
      </c>
      <c r="E445" s="123" t="s">
        <v>94</v>
      </c>
      <c r="F445" s="91" t="s">
        <v>51</v>
      </c>
      <c r="G445" s="74">
        <f>G446</f>
        <v>1252</v>
      </c>
      <c r="H445" s="74">
        <f>H446</f>
        <v>1252</v>
      </c>
      <c r="I445" s="102"/>
    </row>
    <row r="446" spans="1:54" ht="75" x14ac:dyDescent="0.3">
      <c r="A446" s="124" t="s">
        <v>174</v>
      </c>
      <c r="B446" s="122">
        <v>936</v>
      </c>
      <c r="C446" s="91" t="s">
        <v>116</v>
      </c>
      <c r="D446" s="91" t="s">
        <v>122</v>
      </c>
      <c r="E446" s="10" t="s">
        <v>819</v>
      </c>
      <c r="F446" s="91" t="s">
        <v>51</v>
      </c>
      <c r="G446" s="74">
        <f>G447+G450</f>
        <v>1252</v>
      </c>
      <c r="H446" s="74">
        <f>H447+H450</f>
        <v>1252</v>
      </c>
      <c r="I446" s="102"/>
    </row>
    <row r="447" spans="1:54" ht="37.5" hidden="1" outlineLevel="1" x14ac:dyDescent="0.3">
      <c r="A447" s="124" t="s">
        <v>208</v>
      </c>
      <c r="B447" s="122">
        <v>936</v>
      </c>
      <c r="C447" s="91" t="s">
        <v>116</v>
      </c>
      <c r="D447" s="91" t="s">
        <v>122</v>
      </c>
      <c r="E447" s="10" t="s">
        <v>209</v>
      </c>
      <c r="F447" s="91" t="s">
        <v>51</v>
      </c>
      <c r="G447" s="74">
        <f>G448+G449</f>
        <v>0</v>
      </c>
      <c r="H447" s="74">
        <f>H448+H449</f>
        <v>0</v>
      </c>
      <c r="I447" s="102"/>
    </row>
    <row r="448" spans="1:54" ht="93.75" hidden="1" outlineLevel="1" x14ac:dyDescent="0.3">
      <c r="A448" s="124" t="s">
        <v>57</v>
      </c>
      <c r="B448" s="122">
        <v>936</v>
      </c>
      <c r="C448" s="91" t="s">
        <v>116</v>
      </c>
      <c r="D448" s="91" t="s">
        <v>122</v>
      </c>
      <c r="E448" s="10" t="s">
        <v>209</v>
      </c>
      <c r="F448" s="91" t="s">
        <v>58</v>
      </c>
      <c r="G448" s="74"/>
      <c r="H448" s="74"/>
      <c r="I448" s="102"/>
    </row>
    <row r="449" spans="1:56" ht="37.5" hidden="1" outlineLevel="1" x14ac:dyDescent="0.3">
      <c r="A449" s="124" t="s">
        <v>59</v>
      </c>
      <c r="B449" s="122">
        <v>936</v>
      </c>
      <c r="C449" s="91" t="s">
        <v>116</v>
      </c>
      <c r="D449" s="91" t="s">
        <v>122</v>
      </c>
      <c r="E449" s="10" t="s">
        <v>209</v>
      </c>
      <c r="F449" s="91" t="s">
        <v>60</v>
      </c>
      <c r="G449" s="74"/>
      <c r="H449" s="74"/>
      <c r="I449" s="102"/>
    </row>
    <row r="450" spans="1:56" ht="123" customHeight="1" collapsed="1" x14ac:dyDescent="0.3">
      <c r="A450" s="124" t="s">
        <v>540</v>
      </c>
      <c r="B450" s="122">
        <v>936</v>
      </c>
      <c r="C450" s="91" t="s">
        <v>116</v>
      </c>
      <c r="D450" s="91" t="s">
        <v>122</v>
      </c>
      <c r="E450" s="10" t="s">
        <v>820</v>
      </c>
      <c r="F450" s="91" t="s">
        <v>51</v>
      </c>
      <c r="G450" s="74">
        <f>G451+G452</f>
        <v>1252</v>
      </c>
      <c r="H450" s="74">
        <f>H451+H452</f>
        <v>1252</v>
      </c>
      <c r="I450" s="102"/>
    </row>
    <row r="451" spans="1:56" ht="93.75" x14ac:dyDescent="0.3">
      <c r="A451" s="124" t="s">
        <v>57</v>
      </c>
      <c r="B451" s="122">
        <v>936</v>
      </c>
      <c r="C451" s="91" t="s">
        <v>116</v>
      </c>
      <c r="D451" s="91" t="s">
        <v>122</v>
      </c>
      <c r="E451" s="10" t="s">
        <v>815</v>
      </c>
      <c r="F451" s="91" t="s">
        <v>58</v>
      </c>
      <c r="G451" s="74">
        <v>1176</v>
      </c>
      <c r="H451" s="74">
        <v>1176</v>
      </c>
      <c r="I451" s="102"/>
      <c r="AE451" s="100">
        <v>41.3</v>
      </c>
      <c r="AI451" s="100">
        <v>942.2</v>
      </c>
      <c r="AL451" s="102">
        <v>942.2</v>
      </c>
      <c r="AM451" s="102">
        <v>942.2</v>
      </c>
      <c r="AS451" s="136">
        <v>1070.4000000000001</v>
      </c>
      <c r="AU451" s="136">
        <v>1070.4000000000001</v>
      </c>
      <c r="BC451" s="236">
        <v>1176</v>
      </c>
      <c r="BD451" s="237">
        <v>1176</v>
      </c>
    </row>
    <row r="452" spans="1:56" ht="37.5" x14ac:dyDescent="0.3">
      <c r="A452" s="124" t="s">
        <v>433</v>
      </c>
      <c r="B452" s="122">
        <v>936</v>
      </c>
      <c r="C452" s="91" t="s">
        <v>116</v>
      </c>
      <c r="D452" s="91" t="s">
        <v>122</v>
      </c>
      <c r="E452" s="10" t="s">
        <v>815</v>
      </c>
      <c r="F452" s="91" t="s">
        <v>60</v>
      </c>
      <c r="G452" s="74">
        <v>76</v>
      </c>
      <c r="H452" s="74">
        <v>76</v>
      </c>
      <c r="I452" s="102"/>
      <c r="AI452" s="100">
        <v>72.8</v>
      </c>
      <c r="AL452" s="102">
        <v>72.8</v>
      </c>
      <c r="AM452" s="102">
        <v>72.8</v>
      </c>
      <c r="AS452" s="101">
        <v>69.599999999999994</v>
      </c>
      <c r="AU452" s="101">
        <v>69.599999999999994</v>
      </c>
      <c r="BC452" s="236">
        <v>66</v>
      </c>
      <c r="BD452" s="237">
        <v>66</v>
      </c>
    </row>
    <row r="453" spans="1:56" ht="59.25" customHeight="1" x14ac:dyDescent="0.3">
      <c r="A453" s="121" t="s">
        <v>3</v>
      </c>
      <c r="B453" s="122">
        <v>936</v>
      </c>
      <c r="C453" s="91" t="s">
        <v>116</v>
      </c>
      <c r="D453" s="91" t="s">
        <v>122</v>
      </c>
      <c r="E453" s="91" t="s">
        <v>95</v>
      </c>
      <c r="F453" s="91" t="s">
        <v>51</v>
      </c>
      <c r="G453" s="74">
        <f>G454</f>
        <v>2234</v>
      </c>
      <c r="H453" s="74">
        <f>H454</f>
        <v>1921</v>
      </c>
      <c r="I453" s="102"/>
    </row>
    <row r="454" spans="1:56" ht="75" x14ac:dyDescent="0.3">
      <c r="A454" s="124" t="s">
        <v>174</v>
      </c>
      <c r="B454" s="122">
        <v>936</v>
      </c>
      <c r="C454" s="91" t="s">
        <v>116</v>
      </c>
      <c r="D454" s="91" t="s">
        <v>122</v>
      </c>
      <c r="E454" s="10" t="s">
        <v>783</v>
      </c>
      <c r="F454" s="91" t="s">
        <v>51</v>
      </c>
      <c r="G454" s="74">
        <f>G455</f>
        <v>2234</v>
      </c>
      <c r="H454" s="74">
        <f>H455</f>
        <v>1921</v>
      </c>
      <c r="I454" s="102"/>
    </row>
    <row r="455" spans="1:56" ht="37.5" x14ac:dyDescent="0.3">
      <c r="A455" s="124" t="s">
        <v>208</v>
      </c>
      <c r="B455" s="122">
        <v>936</v>
      </c>
      <c r="C455" s="91" t="s">
        <v>116</v>
      </c>
      <c r="D455" s="91" t="s">
        <v>122</v>
      </c>
      <c r="E455" s="10" t="s">
        <v>788</v>
      </c>
      <c r="F455" s="91" t="s">
        <v>51</v>
      </c>
      <c r="G455" s="74">
        <f>G456+G457</f>
        <v>2234</v>
      </c>
      <c r="H455" s="74">
        <f>H456+H457</f>
        <v>1921</v>
      </c>
      <c r="I455" s="102"/>
    </row>
    <row r="456" spans="1:56" ht="93.75" x14ac:dyDescent="0.3">
      <c r="A456" s="124" t="s">
        <v>57</v>
      </c>
      <c r="B456" s="122">
        <v>936</v>
      </c>
      <c r="C456" s="91" t="s">
        <v>116</v>
      </c>
      <c r="D456" s="91" t="s">
        <v>122</v>
      </c>
      <c r="E456" s="10" t="s">
        <v>788</v>
      </c>
      <c r="F456" s="91" t="s">
        <v>58</v>
      </c>
      <c r="G456" s="74">
        <v>2234</v>
      </c>
      <c r="H456" s="74">
        <v>1921</v>
      </c>
      <c r="I456" s="102"/>
      <c r="AE456" s="100">
        <v>103.3</v>
      </c>
      <c r="AI456" s="100">
        <v>2459.1</v>
      </c>
      <c r="AL456" s="102">
        <v>2459.1</v>
      </c>
      <c r="AM456" s="102">
        <v>2459.1</v>
      </c>
      <c r="AS456" s="136">
        <v>2476.1999999999998</v>
      </c>
      <c r="AU456" s="136">
        <v>2476.1999999999998</v>
      </c>
      <c r="BC456" s="236">
        <v>2484.9</v>
      </c>
      <c r="BD456" s="237">
        <v>2484.9</v>
      </c>
    </row>
    <row r="457" spans="1:56" ht="37.5" x14ac:dyDescent="0.3">
      <c r="A457" s="124" t="s">
        <v>433</v>
      </c>
      <c r="B457" s="122">
        <v>936</v>
      </c>
      <c r="C457" s="91" t="s">
        <v>116</v>
      </c>
      <c r="D457" s="91" t="s">
        <v>122</v>
      </c>
      <c r="E457" s="10" t="s">
        <v>788</v>
      </c>
      <c r="F457" s="91" t="s">
        <v>60</v>
      </c>
      <c r="G457" s="74">
        <v>0</v>
      </c>
      <c r="H457" s="74">
        <v>0</v>
      </c>
      <c r="I457" s="102"/>
      <c r="AI457" s="100">
        <v>106.9</v>
      </c>
      <c r="AL457" s="102">
        <v>106.9</v>
      </c>
      <c r="AM457" s="102">
        <v>106.9</v>
      </c>
      <c r="AS457" s="136">
        <v>127.8</v>
      </c>
      <c r="AU457" s="136">
        <v>127.8</v>
      </c>
      <c r="BC457" s="236">
        <v>41.1</v>
      </c>
      <c r="BD457" s="237">
        <v>41.1</v>
      </c>
    </row>
    <row r="458" spans="1:56" ht="56.25" x14ac:dyDescent="0.3">
      <c r="A458" s="131" t="s">
        <v>16</v>
      </c>
      <c r="B458" s="122">
        <v>936</v>
      </c>
      <c r="C458" s="91" t="s">
        <v>116</v>
      </c>
      <c r="D458" s="91" t="s">
        <v>122</v>
      </c>
      <c r="E458" s="123" t="s">
        <v>32</v>
      </c>
      <c r="F458" s="123" t="s">
        <v>51</v>
      </c>
      <c r="G458" s="74">
        <f>G459</f>
        <v>35628.699999999997</v>
      </c>
      <c r="H458" s="74">
        <f>H459</f>
        <v>35628.699999999997</v>
      </c>
      <c r="I458" s="102"/>
    </row>
    <row r="459" spans="1:56" ht="43.5" customHeight="1" x14ac:dyDescent="0.3">
      <c r="A459" s="125" t="s">
        <v>18</v>
      </c>
      <c r="B459" s="122">
        <v>936</v>
      </c>
      <c r="C459" s="91" t="s">
        <v>116</v>
      </c>
      <c r="D459" s="91" t="s">
        <v>122</v>
      </c>
      <c r="E459" s="123" t="s">
        <v>34</v>
      </c>
      <c r="F459" s="123" t="s">
        <v>51</v>
      </c>
      <c r="G459" s="74">
        <f>G460</f>
        <v>35628.699999999997</v>
      </c>
      <c r="H459" s="74">
        <f>H460</f>
        <v>35628.699999999997</v>
      </c>
      <c r="I459" s="102"/>
    </row>
    <row r="460" spans="1:56" ht="75" x14ac:dyDescent="0.3">
      <c r="A460" s="124" t="s">
        <v>104</v>
      </c>
      <c r="B460" s="122">
        <v>936</v>
      </c>
      <c r="C460" s="91" t="s">
        <v>116</v>
      </c>
      <c r="D460" s="91" t="s">
        <v>122</v>
      </c>
      <c r="E460" s="123" t="s">
        <v>36</v>
      </c>
      <c r="F460" s="123" t="s">
        <v>51</v>
      </c>
      <c r="G460" s="74">
        <f>G461+G468</f>
        <v>35628.699999999997</v>
      </c>
      <c r="H460" s="74">
        <f>H461+H468</f>
        <v>35628.699999999997</v>
      </c>
      <c r="I460" s="102"/>
    </row>
    <row r="461" spans="1:56" x14ac:dyDescent="0.3">
      <c r="A461" s="124" t="s">
        <v>105</v>
      </c>
      <c r="B461" s="122">
        <v>936</v>
      </c>
      <c r="C461" s="91" t="s">
        <v>116</v>
      </c>
      <c r="D461" s="91" t="s">
        <v>122</v>
      </c>
      <c r="E461" s="91" t="s">
        <v>37</v>
      </c>
      <c r="F461" s="123" t="s">
        <v>51</v>
      </c>
      <c r="G461" s="74">
        <f>G462+G463+G464+G465+G466</f>
        <v>30114.5</v>
      </c>
      <c r="H461" s="74">
        <f>H462+H463+H464+H465+H466</f>
        <v>30114.5</v>
      </c>
      <c r="I461" s="102"/>
    </row>
    <row r="462" spans="1:56" ht="93.75" x14ac:dyDescent="0.3">
      <c r="A462" s="124" t="s">
        <v>57</v>
      </c>
      <c r="B462" s="122">
        <v>936</v>
      </c>
      <c r="C462" s="91" t="s">
        <v>116</v>
      </c>
      <c r="D462" s="91" t="s">
        <v>122</v>
      </c>
      <c r="E462" s="123" t="s">
        <v>37</v>
      </c>
      <c r="F462" s="123" t="s">
        <v>58</v>
      </c>
      <c r="G462" s="74">
        <v>25460.5</v>
      </c>
      <c r="H462" s="74">
        <v>25460.5</v>
      </c>
      <c r="I462" s="102"/>
      <c r="L462" s="100">
        <v>13.2</v>
      </c>
      <c r="R462" s="100">
        <v>4</v>
      </c>
      <c r="AI462" s="100">
        <v>18842.099999999999</v>
      </c>
      <c r="AL462" s="102">
        <v>18842.099999999999</v>
      </c>
      <c r="AM462" s="102">
        <v>18842.099999999999</v>
      </c>
      <c r="AR462" s="101">
        <v>21572.6</v>
      </c>
      <c r="AT462" s="101">
        <v>21572.6</v>
      </c>
      <c r="BA462" s="227">
        <v>23651.9</v>
      </c>
      <c r="BB462" s="223">
        <v>23651.9</v>
      </c>
    </row>
    <row r="463" spans="1:56" ht="37.5" x14ac:dyDescent="0.3">
      <c r="A463" s="124" t="s">
        <v>433</v>
      </c>
      <c r="B463" s="122">
        <v>936</v>
      </c>
      <c r="C463" s="91" t="s">
        <v>116</v>
      </c>
      <c r="D463" s="91" t="s">
        <v>122</v>
      </c>
      <c r="E463" s="123" t="s">
        <v>37</v>
      </c>
      <c r="F463" s="123" t="s">
        <v>60</v>
      </c>
      <c r="G463" s="74">
        <f>1626+3000</f>
        <v>4626</v>
      </c>
      <c r="H463" s="74">
        <v>4626</v>
      </c>
      <c r="I463" s="102"/>
      <c r="R463" s="100">
        <f>77+45</f>
        <v>122</v>
      </c>
      <c r="S463" s="100">
        <f>-45-5</f>
        <v>-50</v>
      </c>
      <c r="AG463" s="100">
        <v>90</v>
      </c>
      <c r="AI463" s="100">
        <v>3083.6</v>
      </c>
      <c r="AL463" s="102">
        <v>3083.6</v>
      </c>
      <c r="AM463" s="102">
        <v>3083.6</v>
      </c>
      <c r="AR463" s="101">
        <v>3392</v>
      </c>
      <c r="AT463" s="101">
        <v>3392</v>
      </c>
      <c r="BA463" s="227">
        <v>2920</v>
      </c>
      <c r="BB463" s="223">
        <v>2920</v>
      </c>
    </row>
    <row r="464" spans="1:56" hidden="1" outlineLevel="1" x14ac:dyDescent="0.3">
      <c r="A464" s="124" t="s">
        <v>61</v>
      </c>
      <c r="B464" s="122">
        <v>936</v>
      </c>
      <c r="C464" s="91" t="s">
        <v>116</v>
      </c>
      <c r="D464" s="91" t="s">
        <v>122</v>
      </c>
      <c r="E464" s="123" t="s">
        <v>37</v>
      </c>
      <c r="F464" s="123" t="s">
        <v>62</v>
      </c>
      <c r="G464" s="74"/>
      <c r="H464" s="74"/>
      <c r="I464" s="102"/>
    </row>
    <row r="465" spans="1:56" outlineLevel="1" x14ac:dyDescent="0.3">
      <c r="A465" s="124" t="s">
        <v>61</v>
      </c>
      <c r="B465" s="122">
        <v>936</v>
      </c>
      <c r="C465" s="91" t="s">
        <v>116</v>
      </c>
      <c r="D465" s="91" t="s">
        <v>122</v>
      </c>
      <c r="E465" s="123" t="s">
        <v>37</v>
      </c>
      <c r="F465" s="123" t="s">
        <v>62</v>
      </c>
      <c r="G465" s="74">
        <v>28</v>
      </c>
      <c r="H465" s="74">
        <v>28</v>
      </c>
      <c r="I465" s="102"/>
      <c r="AI465" s="100">
        <v>139.19999999999999</v>
      </c>
      <c r="AL465" s="102">
        <v>139.19999999999999</v>
      </c>
      <c r="AM465" s="102">
        <v>139.19999999999999</v>
      </c>
      <c r="AR465" s="101">
        <v>53.6</v>
      </c>
      <c r="AT465" s="101">
        <v>53.6</v>
      </c>
    </row>
    <row r="466" spans="1:56" ht="37.5" hidden="1" outlineLevel="1" x14ac:dyDescent="0.3">
      <c r="A466" s="125" t="s">
        <v>377</v>
      </c>
      <c r="B466" s="122">
        <v>936</v>
      </c>
      <c r="C466" s="91" t="s">
        <v>116</v>
      </c>
      <c r="D466" s="91" t="s">
        <v>122</v>
      </c>
      <c r="E466" s="157" t="s">
        <v>729</v>
      </c>
      <c r="F466" s="123" t="s">
        <v>51</v>
      </c>
      <c r="G466" s="74">
        <f>G467</f>
        <v>0</v>
      </c>
      <c r="H466" s="74">
        <f>H467</f>
        <v>0</v>
      </c>
      <c r="I466" s="102"/>
    </row>
    <row r="467" spans="1:56" ht="93.75" hidden="1" outlineLevel="1" x14ac:dyDescent="0.3">
      <c r="A467" s="124" t="s">
        <v>57</v>
      </c>
      <c r="B467" s="122">
        <v>936</v>
      </c>
      <c r="C467" s="91" t="s">
        <v>116</v>
      </c>
      <c r="D467" s="91" t="s">
        <v>122</v>
      </c>
      <c r="E467" s="157" t="s">
        <v>729</v>
      </c>
      <c r="F467" s="123" t="s">
        <v>58</v>
      </c>
      <c r="G467" s="74">
        <v>0</v>
      </c>
      <c r="H467" s="74">
        <v>0</v>
      </c>
      <c r="I467" s="102"/>
      <c r="AE467" s="100">
        <v>714.6</v>
      </c>
      <c r="AI467" s="100">
        <v>0</v>
      </c>
    </row>
    <row r="468" spans="1:56" ht="37.5" collapsed="1" x14ac:dyDescent="0.3">
      <c r="A468" s="124" t="s">
        <v>182</v>
      </c>
      <c r="B468" s="122">
        <v>936</v>
      </c>
      <c r="C468" s="91" t="s">
        <v>116</v>
      </c>
      <c r="D468" s="91" t="s">
        <v>122</v>
      </c>
      <c r="E468" s="91" t="s">
        <v>183</v>
      </c>
      <c r="F468" s="91" t="s">
        <v>51</v>
      </c>
      <c r="G468" s="74">
        <f>G469+G470</f>
        <v>5514.2</v>
      </c>
      <c r="H468" s="74">
        <f>H469+H470</f>
        <v>5514.2</v>
      </c>
      <c r="I468" s="102"/>
    </row>
    <row r="469" spans="1:56" ht="93.75" x14ac:dyDescent="0.3">
      <c r="A469" s="124" t="s">
        <v>57</v>
      </c>
      <c r="B469" s="122">
        <v>936</v>
      </c>
      <c r="C469" s="91" t="s">
        <v>116</v>
      </c>
      <c r="D469" s="91" t="s">
        <v>122</v>
      </c>
      <c r="E469" s="91" t="s">
        <v>183</v>
      </c>
      <c r="F469" s="91" t="s">
        <v>58</v>
      </c>
      <c r="G469" s="74">
        <v>5514.2</v>
      </c>
      <c r="H469" s="74">
        <v>5514.2</v>
      </c>
      <c r="I469" s="102"/>
      <c r="AI469" s="100">
        <v>4427.1000000000004</v>
      </c>
      <c r="AL469" s="102">
        <v>4427.1000000000004</v>
      </c>
      <c r="AM469" s="102">
        <v>4427.1000000000004</v>
      </c>
      <c r="AR469" s="101">
        <v>5116.5</v>
      </c>
      <c r="AT469" s="101">
        <v>5116.5</v>
      </c>
      <c r="BA469" s="227">
        <v>5061.3999999999996</v>
      </c>
      <c r="BB469" s="223">
        <v>5061.3999999999996</v>
      </c>
    </row>
    <row r="470" spans="1:56" ht="37.5" hidden="1" x14ac:dyDescent="0.3">
      <c r="A470" s="125" t="s">
        <v>377</v>
      </c>
      <c r="B470" s="122">
        <v>936</v>
      </c>
      <c r="C470" s="91" t="s">
        <v>116</v>
      </c>
      <c r="D470" s="91" t="s">
        <v>122</v>
      </c>
      <c r="E470" s="157" t="s">
        <v>730</v>
      </c>
      <c r="F470" s="123" t="s">
        <v>51</v>
      </c>
      <c r="G470" s="74">
        <f>G471</f>
        <v>0</v>
      </c>
      <c r="H470" s="74">
        <f>H471</f>
        <v>0</v>
      </c>
      <c r="I470" s="102"/>
    </row>
    <row r="471" spans="1:56" ht="93.75" hidden="1" x14ac:dyDescent="0.3">
      <c r="A471" s="124" t="s">
        <v>57</v>
      </c>
      <c r="B471" s="122">
        <v>936</v>
      </c>
      <c r="C471" s="91" t="s">
        <v>116</v>
      </c>
      <c r="D471" s="91" t="s">
        <v>122</v>
      </c>
      <c r="E471" s="157" t="s">
        <v>730</v>
      </c>
      <c r="F471" s="123" t="s">
        <v>58</v>
      </c>
      <c r="G471" s="74">
        <f>AE471</f>
        <v>0</v>
      </c>
      <c r="H471" s="74">
        <f>AF471</f>
        <v>0</v>
      </c>
      <c r="I471" s="102"/>
    </row>
    <row r="472" spans="1:56" x14ac:dyDescent="0.3">
      <c r="A472" s="158" t="s">
        <v>210</v>
      </c>
      <c r="B472" s="159">
        <v>936</v>
      </c>
      <c r="C472" s="160" t="s">
        <v>116</v>
      </c>
      <c r="D472" s="160" t="s">
        <v>211</v>
      </c>
      <c r="E472" s="161" t="s">
        <v>50</v>
      </c>
      <c r="F472" s="161" t="s">
        <v>51</v>
      </c>
      <c r="G472" s="93">
        <f t="shared" ref="G472:H475" si="20">G473</f>
        <v>19.91</v>
      </c>
      <c r="H472" s="93">
        <f t="shared" si="20"/>
        <v>9.66</v>
      </c>
      <c r="I472" s="102"/>
    </row>
    <row r="473" spans="1:56" ht="56.25" x14ac:dyDescent="0.3">
      <c r="A473" s="131" t="s">
        <v>16</v>
      </c>
      <c r="B473" s="162">
        <v>936</v>
      </c>
      <c r="C473" s="163" t="s">
        <v>116</v>
      </c>
      <c r="D473" s="163" t="s">
        <v>211</v>
      </c>
      <c r="E473" s="123" t="s">
        <v>32</v>
      </c>
      <c r="F473" s="138" t="s">
        <v>51</v>
      </c>
      <c r="G473" s="74">
        <f t="shared" si="20"/>
        <v>19.91</v>
      </c>
      <c r="H473" s="74">
        <f t="shared" si="20"/>
        <v>9.66</v>
      </c>
      <c r="I473" s="102"/>
    </row>
    <row r="474" spans="1:56" x14ac:dyDescent="0.3">
      <c r="A474" s="124" t="s">
        <v>417</v>
      </c>
      <c r="B474" s="162">
        <v>936</v>
      </c>
      <c r="C474" s="163" t="s">
        <v>116</v>
      </c>
      <c r="D474" s="163" t="s">
        <v>211</v>
      </c>
      <c r="E474" s="14" t="s">
        <v>825</v>
      </c>
      <c r="F474" s="138" t="s">
        <v>51</v>
      </c>
      <c r="G474" s="74">
        <f t="shared" si="20"/>
        <v>19.91</v>
      </c>
      <c r="H474" s="74">
        <f t="shared" si="20"/>
        <v>9.66</v>
      </c>
      <c r="I474" s="102"/>
    </row>
    <row r="475" spans="1:56" ht="88.5" customHeight="1" x14ac:dyDescent="0.3">
      <c r="A475" s="164" t="s">
        <v>212</v>
      </c>
      <c r="B475" s="162">
        <v>936</v>
      </c>
      <c r="C475" s="163" t="s">
        <v>116</v>
      </c>
      <c r="D475" s="163" t="s">
        <v>211</v>
      </c>
      <c r="E475" s="14" t="s">
        <v>826</v>
      </c>
      <c r="F475" s="138" t="s">
        <v>51</v>
      </c>
      <c r="G475" s="74">
        <f t="shared" si="20"/>
        <v>19.91</v>
      </c>
      <c r="H475" s="74">
        <f t="shared" si="20"/>
        <v>9.66</v>
      </c>
      <c r="I475" s="102"/>
    </row>
    <row r="476" spans="1:56" ht="37.5" x14ac:dyDescent="0.3">
      <c r="A476" s="124" t="s">
        <v>433</v>
      </c>
      <c r="B476" s="162">
        <v>936</v>
      </c>
      <c r="C476" s="163" t="s">
        <v>116</v>
      </c>
      <c r="D476" s="163" t="s">
        <v>211</v>
      </c>
      <c r="E476" s="14" t="s">
        <v>826</v>
      </c>
      <c r="F476" s="138" t="s">
        <v>60</v>
      </c>
      <c r="G476" s="74">
        <v>19.91</v>
      </c>
      <c r="H476" s="74">
        <v>9.66</v>
      </c>
      <c r="I476" s="102"/>
      <c r="AI476" s="100">
        <v>21.5</v>
      </c>
      <c r="AL476" s="102">
        <v>7.2</v>
      </c>
      <c r="AM476" s="102">
        <v>1.8</v>
      </c>
      <c r="AS476" s="101">
        <v>1.1000000000000001</v>
      </c>
      <c r="AU476" s="101">
        <v>0.8</v>
      </c>
      <c r="BC476" s="236">
        <v>3.5</v>
      </c>
      <c r="BD476" s="237">
        <v>20</v>
      </c>
    </row>
    <row r="477" spans="1:56" ht="37.5" hidden="1" x14ac:dyDescent="0.3">
      <c r="A477" s="119" t="s">
        <v>344</v>
      </c>
      <c r="B477" s="159">
        <v>936</v>
      </c>
      <c r="C477" s="160" t="s">
        <v>116</v>
      </c>
      <c r="D477" s="160" t="s">
        <v>124</v>
      </c>
      <c r="E477" s="161" t="s">
        <v>50</v>
      </c>
      <c r="F477" s="161" t="s">
        <v>51</v>
      </c>
      <c r="G477" s="93">
        <f t="shared" ref="G477:H480" si="21">G478</f>
        <v>0</v>
      </c>
      <c r="H477" s="93">
        <f t="shared" si="21"/>
        <v>-478.33600000000001</v>
      </c>
      <c r="I477" s="102"/>
    </row>
    <row r="478" spans="1:56" ht="56.25" hidden="1" x14ac:dyDescent="0.3">
      <c r="A478" s="131" t="s">
        <v>16</v>
      </c>
      <c r="B478" s="162">
        <v>936</v>
      </c>
      <c r="C478" s="163" t="s">
        <v>116</v>
      </c>
      <c r="D478" s="163" t="s">
        <v>124</v>
      </c>
      <c r="E478" s="123" t="s">
        <v>32</v>
      </c>
      <c r="F478" s="138" t="s">
        <v>51</v>
      </c>
      <c r="G478" s="74">
        <f t="shared" si="21"/>
        <v>0</v>
      </c>
      <c r="H478" s="74">
        <f t="shared" si="21"/>
        <v>-478.33600000000001</v>
      </c>
      <c r="I478" s="102"/>
    </row>
    <row r="479" spans="1:56" hidden="1" x14ac:dyDescent="0.3">
      <c r="A479" s="124" t="s">
        <v>417</v>
      </c>
      <c r="B479" s="162">
        <v>936</v>
      </c>
      <c r="C479" s="163" t="s">
        <v>116</v>
      </c>
      <c r="D479" s="163" t="s">
        <v>124</v>
      </c>
      <c r="E479" s="138" t="s">
        <v>45</v>
      </c>
      <c r="F479" s="138" t="s">
        <v>51</v>
      </c>
      <c r="G479" s="74">
        <f t="shared" si="21"/>
        <v>0</v>
      </c>
      <c r="H479" s="74">
        <f t="shared" si="21"/>
        <v>-478.33600000000001</v>
      </c>
      <c r="I479" s="102"/>
    </row>
    <row r="480" spans="1:56" hidden="1" x14ac:dyDescent="0.3">
      <c r="A480" s="124" t="s">
        <v>531</v>
      </c>
      <c r="B480" s="162">
        <v>936</v>
      </c>
      <c r="C480" s="163" t="s">
        <v>116</v>
      </c>
      <c r="D480" s="163" t="s">
        <v>124</v>
      </c>
      <c r="E480" s="138" t="s">
        <v>532</v>
      </c>
      <c r="F480" s="138" t="s">
        <v>51</v>
      </c>
      <c r="G480" s="74">
        <f t="shared" si="21"/>
        <v>0</v>
      </c>
      <c r="H480" s="74">
        <f t="shared" si="21"/>
        <v>-478.33600000000001</v>
      </c>
      <c r="I480" s="102"/>
    </row>
    <row r="481" spans="1:54" ht="37.5" hidden="1" x14ac:dyDescent="0.3">
      <c r="A481" s="124" t="s">
        <v>533</v>
      </c>
      <c r="B481" s="162">
        <v>936</v>
      </c>
      <c r="C481" s="163" t="s">
        <v>116</v>
      </c>
      <c r="D481" s="163" t="s">
        <v>124</v>
      </c>
      <c r="E481" s="138" t="s">
        <v>534</v>
      </c>
      <c r="F481" s="138" t="s">
        <v>51</v>
      </c>
      <c r="G481" s="74">
        <f>G482+G483</f>
        <v>0</v>
      </c>
      <c r="H481" s="74">
        <f>H482+H483</f>
        <v>-478.33600000000001</v>
      </c>
      <c r="I481" s="102"/>
    </row>
    <row r="482" spans="1:54" ht="37.5" hidden="1" x14ac:dyDescent="0.3">
      <c r="A482" s="124" t="s">
        <v>433</v>
      </c>
      <c r="B482" s="162">
        <v>936</v>
      </c>
      <c r="C482" s="163" t="s">
        <v>116</v>
      </c>
      <c r="D482" s="163" t="s">
        <v>124</v>
      </c>
      <c r="E482" s="138" t="s">
        <v>534</v>
      </c>
      <c r="F482" s="138" t="s">
        <v>60</v>
      </c>
      <c r="G482" s="74">
        <f>200+AA482+AB482</f>
        <v>0</v>
      </c>
      <c r="H482" s="74">
        <f>200+AB482+AC482</f>
        <v>-478.33600000000001</v>
      </c>
      <c r="I482" s="102"/>
      <c r="AA482" s="100">
        <v>478.33600000000001</v>
      </c>
      <c r="AB482" s="100">
        <v>-678.33600000000001</v>
      </c>
      <c r="AI482" s="100">
        <v>0</v>
      </c>
    </row>
    <row r="483" spans="1:54" hidden="1" x14ac:dyDescent="0.3">
      <c r="A483" s="124" t="s">
        <v>61</v>
      </c>
      <c r="B483" s="162">
        <v>936</v>
      </c>
      <c r="C483" s="163" t="s">
        <v>116</v>
      </c>
      <c r="D483" s="163" t="s">
        <v>124</v>
      </c>
      <c r="E483" s="138" t="s">
        <v>534</v>
      </c>
      <c r="F483" s="138" t="s">
        <v>62</v>
      </c>
      <c r="G483" s="74">
        <v>0</v>
      </c>
      <c r="H483" s="74">
        <v>0</v>
      </c>
      <c r="I483" s="102"/>
      <c r="AB483" s="100">
        <v>678.33600000000001</v>
      </c>
      <c r="AI483" s="100">
        <v>0</v>
      </c>
    </row>
    <row r="484" spans="1:54" x14ac:dyDescent="0.3">
      <c r="A484" s="119" t="s">
        <v>213</v>
      </c>
      <c r="B484" s="118">
        <v>936</v>
      </c>
      <c r="C484" s="114" t="s">
        <v>116</v>
      </c>
      <c r="D484" s="120" t="s">
        <v>191</v>
      </c>
      <c r="E484" s="118" t="s">
        <v>214</v>
      </c>
      <c r="F484" s="118" t="s">
        <v>215</v>
      </c>
      <c r="G484" s="93">
        <f>G485+G510+G545+G520+G498+G515</f>
        <v>15833.6</v>
      </c>
      <c r="H484" s="93">
        <f>H485+H510+H545+H520+H498</f>
        <v>19304.099999999999</v>
      </c>
      <c r="I484" s="102"/>
    </row>
    <row r="485" spans="1:54" ht="39" customHeight="1" x14ac:dyDescent="0.3">
      <c r="A485" s="121" t="s">
        <v>159</v>
      </c>
      <c r="B485" s="122">
        <v>936</v>
      </c>
      <c r="C485" s="91" t="s">
        <v>116</v>
      </c>
      <c r="D485" s="105" t="s">
        <v>191</v>
      </c>
      <c r="E485" s="123" t="s">
        <v>86</v>
      </c>
      <c r="F485" s="138" t="s">
        <v>51</v>
      </c>
      <c r="G485" s="74">
        <f>G486</f>
        <v>7579.7999999999993</v>
      </c>
      <c r="H485" s="74">
        <f>H486</f>
        <v>7580.0999999999995</v>
      </c>
      <c r="I485" s="102"/>
    </row>
    <row r="486" spans="1:54" ht="37.5" x14ac:dyDescent="0.3">
      <c r="A486" s="131" t="s">
        <v>216</v>
      </c>
      <c r="B486" s="122">
        <v>936</v>
      </c>
      <c r="C486" s="105" t="s">
        <v>116</v>
      </c>
      <c r="D486" s="105" t="s">
        <v>191</v>
      </c>
      <c r="E486" s="91" t="s">
        <v>90</v>
      </c>
      <c r="F486" s="91" t="s">
        <v>51</v>
      </c>
      <c r="G486" s="74">
        <f>G487+G495</f>
        <v>7579.7999999999993</v>
      </c>
      <c r="H486" s="74">
        <f>H487+H495</f>
        <v>7580.0999999999995</v>
      </c>
      <c r="I486" s="102"/>
    </row>
    <row r="487" spans="1:54" ht="37.5" x14ac:dyDescent="0.3">
      <c r="A487" s="124" t="s">
        <v>53</v>
      </c>
      <c r="B487" s="122">
        <v>936</v>
      </c>
      <c r="C487" s="91" t="s">
        <v>116</v>
      </c>
      <c r="D487" s="105" t="s">
        <v>191</v>
      </c>
      <c r="E487" s="91" t="s">
        <v>218</v>
      </c>
      <c r="F487" s="91" t="s">
        <v>51</v>
      </c>
      <c r="G487" s="74">
        <f>G488+G493</f>
        <v>7382.4</v>
      </c>
      <c r="H487" s="74">
        <f>H488+H493</f>
        <v>7382.4</v>
      </c>
      <c r="I487" s="102"/>
    </row>
    <row r="488" spans="1:54" x14ac:dyDescent="0.3">
      <c r="A488" s="124" t="s">
        <v>217</v>
      </c>
      <c r="B488" s="122">
        <v>936</v>
      </c>
      <c r="C488" s="91" t="s">
        <v>116</v>
      </c>
      <c r="D488" s="91" t="s">
        <v>191</v>
      </c>
      <c r="E488" s="91" t="s">
        <v>219</v>
      </c>
      <c r="F488" s="91" t="s">
        <v>51</v>
      </c>
      <c r="G488" s="74">
        <f>G489+G490+G492</f>
        <v>7382.4</v>
      </c>
      <c r="H488" s="74">
        <f>H489+H490+H492</f>
        <v>7382.4</v>
      </c>
      <c r="I488" s="102"/>
    </row>
    <row r="489" spans="1:54" ht="93.75" x14ac:dyDescent="0.3">
      <c r="A489" s="124" t="s">
        <v>57</v>
      </c>
      <c r="B489" s="122">
        <v>936</v>
      </c>
      <c r="C489" s="91" t="s">
        <v>116</v>
      </c>
      <c r="D489" s="91" t="s">
        <v>191</v>
      </c>
      <c r="E489" s="91" t="s">
        <v>219</v>
      </c>
      <c r="F489" s="91" t="s">
        <v>58</v>
      </c>
      <c r="G489" s="74">
        <v>4424.6000000000004</v>
      </c>
      <c r="H489" s="74">
        <v>4424.6000000000004</v>
      </c>
      <c r="I489" s="102"/>
      <c r="AI489" s="100">
        <v>3079.2</v>
      </c>
      <c r="AL489" s="102">
        <v>3079.2</v>
      </c>
      <c r="AM489" s="102">
        <v>3079.2</v>
      </c>
      <c r="AR489" s="101">
        <v>3501.1</v>
      </c>
      <c r="AT489" s="101">
        <v>3501.1</v>
      </c>
      <c r="BA489" s="227">
        <v>3877.1</v>
      </c>
      <c r="BB489" s="223">
        <v>3877.1</v>
      </c>
    </row>
    <row r="490" spans="1:54" ht="37.5" x14ac:dyDescent="0.3">
      <c r="A490" s="124" t="s">
        <v>433</v>
      </c>
      <c r="B490" s="122">
        <v>936</v>
      </c>
      <c r="C490" s="91" t="s">
        <v>116</v>
      </c>
      <c r="D490" s="105" t="s">
        <v>191</v>
      </c>
      <c r="E490" s="91" t="s">
        <v>219</v>
      </c>
      <c r="F490" s="91" t="s">
        <v>60</v>
      </c>
      <c r="G490" s="74">
        <f>2126.1+559+272.7</f>
        <v>2957.7999999999997</v>
      </c>
      <c r="H490" s="74">
        <v>2957.7999999999997</v>
      </c>
      <c r="I490" s="102"/>
      <c r="AA490" s="100">
        <f>5+31.5</f>
        <v>36.5</v>
      </c>
      <c r="AF490" s="100">
        <f>-2.08665-0.84156+1.4</f>
        <v>-1.5282100000000001</v>
      </c>
      <c r="AI490" s="100">
        <v>677.5</v>
      </c>
      <c r="AL490" s="102">
        <v>417.6</v>
      </c>
      <c r="AM490" s="102">
        <v>417.6</v>
      </c>
      <c r="AR490" s="101">
        <v>274.39999999999998</v>
      </c>
      <c r="AT490" s="101">
        <v>273.89999999999998</v>
      </c>
      <c r="BA490" s="227">
        <v>770.6</v>
      </c>
      <c r="BB490" s="223">
        <v>770.6</v>
      </c>
    </row>
    <row r="491" spans="1:54" ht="37.5" hidden="1" x14ac:dyDescent="0.3">
      <c r="A491" s="125" t="s">
        <v>377</v>
      </c>
      <c r="B491" s="122">
        <v>936</v>
      </c>
      <c r="C491" s="91" t="s">
        <v>116</v>
      </c>
      <c r="D491" s="105" t="s">
        <v>191</v>
      </c>
      <c r="E491" s="91" t="s">
        <v>436</v>
      </c>
      <c r="F491" s="91" t="s">
        <v>51</v>
      </c>
      <c r="G491" s="74">
        <f>G492</f>
        <v>0</v>
      </c>
      <c r="H491" s="74">
        <f>H492</f>
        <v>0</v>
      </c>
      <c r="I491" s="102"/>
    </row>
    <row r="492" spans="1:54" ht="93.75" hidden="1" x14ac:dyDescent="0.3">
      <c r="A492" s="124" t="s">
        <v>57</v>
      </c>
      <c r="B492" s="122">
        <v>936</v>
      </c>
      <c r="C492" s="91" t="s">
        <v>116</v>
      </c>
      <c r="D492" s="105" t="s">
        <v>191</v>
      </c>
      <c r="E492" s="91" t="s">
        <v>436</v>
      </c>
      <c r="F492" s="91" t="s">
        <v>58</v>
      </c>
      <c r="G492" s="74">
        <v>0</v>
      </c>
      <c r="H492" s="74">
        <v>0</v>
      </c>
      <c r="I492" s="102"/>
      <c r="X492" s="100">
        <v>9.5</v>
      </c>
      <c r="AE492" s="100">
        <v>169.9</v>
      </c>
      <c r="AI492" s="100">
        <v>0</v>
      </c>
    </row>
    <row r="493" spans="1:54" ht="44.25" hidden="1" customHeight="1" x14ac:dyDescent="0.3">
      <c r="A493" s="125" t="s">
        <v>381</v>
      </c>
      <c r="B493" s="122">
        <v>936</v>
      </c>
      <c r="C493" s="91" t="s">
        <v>116</v>
      </c>
      <c r="D493" s="105" t="s">
        <v>191</v>
      </c>
      <c r="E493" s="91" t="s">
        <v>437</v>
      </c>
      <c r="F493" s="91" t="s">
        <v>51</v>
      </c>
      <c r="G493" s="74">
        <f>G494</f>
        <v>0</v>
      </c>
      <c r="H493" s="74">
        <f>H494</f>
        <v>0</v>
      </c>
      <c r="I493" s="102"/>
    </row>
    <row r="494" spans="1:54" ht="93.75" hidden="1" x14ac:dyDescent="0.3">
      <c r="A494" s="124" t="s">
        <v>57</v>
      </c>
      <c r="B494" s="122">
        <v>936</v>
      </c>
      <c r="C494" s="91" t="s">
        <v>116</v>
      </c>
      <c r="D494" s="105" t="s">
        <v>191</v>
      </c>
      <c r="E494" s="91" t="s">
        <v>437</v>
      </c>
      <c r="F494" s="91" t="s">
        <v>58</v>
      </c>
      <c r="G494" s="74">
        <v>0</v>
      </c>
      <c r="H494" s="74">
        <v>0</v>
      </c>
      <c r="I494" s="102"/>
    </row>
    <row r="495" spans="1:54" ht="75" x14ac:dyDescent="0.3">
      <c r="A495" s="124" t="s">
        <v>174</v>
      </c>
      <c r="B495" s="122">
        <v>936</v>
      </c>
      <c r="C495" s="91" t="s">
        <v>116</v>
      </c>
      <c r="D495" s="91" t="s">
        <v>191</v>
      </c>
      <c r="E495" s="10" t="s">
        <v>812</v>
      </c>
      <c r="F495" s="91" t="s">
        <v>51</v>
      </c>
      <c r="G495" s="74">
        <f>G496</f>
        <v>197.4</v>
      </c>
      <c r="H495" s="74">
        <f>H496</f>
        <v>197.7</v>
      </c>
      <c r="I495" s="102"/>
    </row>
    <row r="496" spans="1:54" ht="73.5" customHeight="1" x14ac:dyDescent="0.3">
      <c r="A496" s="165" t="s">
        <v>541</v>
      </c>
      <c r="B496" s="122">
        <v>936</v>
      </c>
      <c r="C496" s="91" t="s">
        <v>116</v>
      </c>
      <c r="D496" s="91" t="s">
        <v>191</v>
      </c>
      <c r="E496" s="10" t="s">
        <v>813</v>
      </c>
      <c r="F496" s="91" t="s">
        <v>51</v>
      </c>
      <c r="G496" s="74">
        <f>G497</f>
        <v>197.4</v>
      </c>
      <c r="H496" s="74">
        <f>H497</f>
        <v>197.7</v>
      </c>
      <c r="I496" s="102"/>
    </row>
    <row r="497" spans="1:56" ht="37.5" x14ac:dyDescent="0.3">
      <c r="A497" s="124" t="s">
        <v>433</v>
      </c>
      <c r="B497" s="122">
        <v>936</v>
      </c>
      <c r="C497" s="91" t="s">
        <v>116</v>
      </c>
      <c r="D497" s="91" t="s">
        <v>191</v>
      </c>
      <c r="E497" s="10" t="s">
        <v>813</v>
      </c>
      <c r="F497" s="91" t="s">
        <v>60</v>
      </c>
      <c r="G497" s="74">
        <v>197.4</v>
      </c>
      <c r="H497" s="74">
        <v>197.7</v>
      </c>
      <c r="I497" s="102"/>
      <c r="AI497" s="100">
        <v>182.7</v>
      </c>
      <c r="AL497" s="102">
        <v>184.8</v>
      </c>
      <c r="AM497" s="102">
        <v>185.4</v>
      </c>
      <c r="AS497" s="101">
        <v>195.5</v>
      </c>
      <c r="AU497" s="101">
        <v>196</v>
      </c>
      <c r="BC497" s="236">
        <v>196.9</v>
      </c>
      <c r="BD497" s="237">
        <v>197.9</v>
      </c>
    </row>
    <row r="498" spans="1:56" ht="56.25" hidden="1" x14ac:dyDescent="0.3">
      <c r="A498" s="121" t="s">
        <v>162</v>
      </c>
      <c r="B498" s="122">
        <v>936</v>
      </c>
      <c r="C498" s="91" t="s">
        <v>116</v>
      </c>
      <c r="D498" s="91" t="s">
        <v>191</v>
      </c>
      <c r="E498" s="123" t="s">
        <v>100</v>
      </c>
      <c r="F498" s="91" t="s">
        <v>51</v>
      </c>
      <c r="G498" s="74">
        <f>G499+G502+G505+G507</f>
        <v>0</v>
      </c>
      <c r="H498" s="74">
        <f>H499+H502+H505+H507</f>
        <v>0</v>
      </c>
      <c r="I498" s="102"/>
    </row>
    <row r="499" spans="1:56" ht="53.25" hidden="1" customHeight="1" x14ac:dyDescent="0.3">
      <c r="A499" s="121" t="s">
        <v>8</v>
      </c>
      <c r="B499" s="122">
        <v>936</v>
      </c>
      <c r="C499" s="91" t="s">
        <v>116</v>
      </c>
      <c r="D499" s="91" t="s">
        <v>191</v>
      </c>
      <c r="E499" s="123" t="s">
        <v>101</v>
      </c>
      <c r="F499" s="91" t="s">
        <v>51</v>
      </c>
      <c r="G499" s="74">
        <f>G501</f>
        <v>0</v>
      </c>
      <c r="H499" s="74">
        <f>H501</f>
        <v>0</v>
      </c>
      <c r="I499" s="102"/>
    </row>
    <row r="500" spans="1:56" ht="56.25" hidden="1" x14ac:dyDescent="0.3">
      <c r="A500" s="132" t="s">
        <v>501</v>
      </c>
      <c r="B500" s="122">
        <v>936</v>
      </c>
      <c r="C500" s="91" t="s">
        <v>116</v>
      </c>
      <c r="D500" s="105" t="s">
        <v>191</v>
      </c>
      <c r="E500" s="123" t="s">
        <v>482</v>
      </c>
      <c r="F500" s="91" t="s">
        <v>51</v>
      </c>
      <c r="G500" s="74">
        <f>G501</f>
        <v>0</v>
      </c>
      <c r="H500" s="74">
        <f>H501</f>
        <v>0</v>
      </c>
      <c r="I500" s="102"/>
    </row>
    <row r="501" spans="1:56" ht="31.5" hidden="1" customHeight="1" x14ac:dyDescent="0.3">
      <c r="A501" s="124" t="s">
        <v>61</v>
      </c>
      <c r="B501" s="122">
        <v>936</v>
      </c>
      <c r="C501" s="91" t="s">
        <v>116</v>
      </c>
      <c r="D501" s="105" t="s">
        <v>191</v>
      </c>
      <c r="E501" s="123" t="s">
        <v>482</v>
      </c>
      <c r="F501" s="91" t="s">
        <v>62</v>
      </c>
      <c r="G501" s="74"/>
      <c r="H501" s="74"/>
      <c r="I501" s="102"/>
    </row>
    <row r="502" spans="1:56" ht="57" hidden="1" customHeight="1" x14ac:dyDescent="0.3">
      <c r="A502" s="121" t="s">
        <v>9</v>
      </c>
      <c r="B502" s="122">
        <v>936</v>
      </c>
      <c r="C502" s="91" t="s">
        <v>116</v>
      </c>
      <c r="D502" s="105" t="s">
        <v>191</v>
      </c>
      <c r="E502" s="123" t="s">
        <v>102</v>
      </c>
      <c r="F502" s="91" t="s">
        <v>51</v>
      </c>
      <c r="G502" s="74">
        <f>G503</f>
        <v>0</v>
      </c>
      <c r="H502" s="74">
        <f>H503</f>
        <v>0</v>
      </c>
      <c r="I502" s="102"/>
    </row>
    <row r="503" spans="1:56" ht="57" hidden="1" customHeight="1" x14ac:dyDescent="0.3">
      <c r="A503" s="132" t="s">
        <v>501</v>
      </c>
      <c r="B503" s="122">
        <v>936</v>
      </c>
      <c r="C503" s="91" t="s">
        <v>116</v>
      </c>
      <c r="D503" s="105" t="s">
        <v>191</v>
      </c>
      <c r="E503" s="123" t="s">
        <v>502</v>
      </c>
      <c r="F503" s="91" t="s">
        <v>51</v>
      </c>
      <c r="G503" s="74">
        <f>G504</f>
        <v>0</v>
      </c>
      <c r="H503" s="74">
        <f>H504</f>
        <v>0</v>
      </c>
      <c r="I503" s="102"/>
    </row>
    <row r="504" spans="1:56" ht="24.75" hidden="1" customHeight="1" x14ac:dyDescent="0.3">
      <c r="A504" s="124" t="s">
        <v>61</v>
      </c>
      <c r="B504" s="122">
        <v>936</v>
      </c>
      <c r="C504" s="91" t="s">
        <v>116</v>
      </c>
      <c r="D504" s="105" t="s">
        <v>191</v>
      </c>
      <c r="E504" s="123" t="s">
        <v>502</v>
      </c>
      <c r="F504" s="91" t="s">
        <v>62</v>
      </c>
      <c r="G504" s="74">
        <v>0</v>
      </c>
      <c r="H504" s="74">
        <v>0</v>
      </c>
      <c r="I504" s="102"/>
      <c r="S504" s="100">
        <v>56</v>
      </c>
      <c r="X504" s="100">
        <v>90.3</v>
      </c>
      <c r="AA504" s="100">
        <v>37.5</v>
      </c>
      <c r="AC504" s="100">
        <v>37.5</v>
      </c>
      <c r="AI504" s="100">
        <v>0</v>
      </c>
    </row>
    <row r="505" spans="1:56" ht="42" hidden="1" customHeight="1" x14ac:dyDescent="0.3">
      <c r="A505" s="125" t="s">
        <v>10</v>
      </c>
      <c r="B505" s="122">
        <v>936</v>
      </c>
      <c r="C505" s="91" t="s">
        <v>116</v>
      </c>
      <c r="D505" s="105" t="s">
        <v>191</v>
      </c>
      <c r="E505" s="123" t="s">
        <v>28</v>
      </c>
      <c r="F505" s="91" t="s">
        <v>51</v>
      </c>
      <c r="G505" s="74">
        <f>G506</f>
        <v>0</v>
      </c>
      <c r="H505" s="74">
        <f>H506</f>
        <v>0</v>
      </c>
      <c r="I505" s="102"/>
    </row>
    <row r="506" spans="1:56" ht="24.75" hidden="1" customHeight="1" x14ac:dyDescent="0.3">
      <c r="A506" s="124" t="s">
        <v>61</v>
      </c>
      <c r="B506" s="122">
        <v>936</v>
      </c>
      <c r="C506" s="91" t="s">
        <v>116</v>
      </c>
      <c r="D506" s="105" t="s">
        <v>191</v>
      </c>
      <c r="E506" s="123" t="s">
        <v>680</v>
      </c>
      <c r="F506" s="91" t="s">
        <v>62</v>
      </c>
      <c r="G506" s="74">
        <v>0</v>
      </c>
      <c r="H506" s="74">
        <v>0</v>
      </c>
      <c r="I506" s="102"/>
      <c r="AC506" s="100">
        <v>41.828000000000003</v>
      </c>
      <c r="AF506" s="100">
        <v>24.849029999999999</v>
      </c>
      <c r="AI506" s="100">
        <v>0</v>
      </c>
    </row>
    <row r="507" spans="1:56" ht="24.75" hidden="1" customHeight="1" x14ac:dyDescent="0.3">
      <c r="A507" s="124" t="s">
        <v>417</v>
      </c>
      <c r="B507" s="122">
        <v>936</v>
      </c>
      <c r="C507" s="91" t="s">
        <v>116</v>
      </c>
      <c r="D507" s="105" t="s">
        <v>191</v>
      </c>
      <c r="E507" s="123" t="s">
        <v>429</v>
      </c>
      <c r="F507" s="91" t="s">
        <v>51</v>
      </c>
      <c r="G507" s="74">
        <f>G508</f>
        <v>0</v>
      </c>
      <c r="H507" s="74">
        <f>H508</f>
        <v>0</v>
      </c>
      <c r="I507" s="102"/>
    </row>
    <row r="508" spans="1:56" ht="62.25" hidden="1" customHeight="1" x14ac:dyDescent="0.3">
      <c r="A508" s="132" t="s">
        <v>501</v>
      </c>
      <c r="B508" s="122">
        <v>936</v>
      </c>
      <c r="C508" s="91" t="s">
        <v>116</v>
      </c>
      <c r="D508" s="105" t="s">
        <v>191</v>
      </c>
      <c r="E508" s="123" t="s">
        <v>694</v>
      </c>
      <c r="F508" s="91" t="s">
        <v>51</v>
      </c>
      <c r="G508" s="74">
        <f>G509</f>
        <v>0</v>
      </c>
      <c r="H508" s="74">
        <f>H509</f>
        <v>0</v>
      </c>
      <c r="I508" s="102"/>
    </row>
    <row r="509" spans="1:56" ht="24.75" hidden="1" customHeight="1" x14ac:dyDescent="0.3">
      <c r="A509" s="124" t="s">
        <v>61</v>
      </c>
      <c r="B509" s="122">
        <v>936</v>
      </c>
      <c r="C509" s="91" t="s">
        <v>116</v>
      </c>
      <c r="D509" s="105" t="s">
        <v>191</v>
      </c>
      <c r="E509" s="123" t="s">
        <v>694</v>
      </c>
      <c r="F509" s="91" t="s">
        <v>62</v>
      </c>
      <c r="G509" s="74">
        <v>0</v>
      </c>
      <c r="H509" s="74">
        <v>0</v>
      </c>
      <c r="I509" s="102"/>
      <c r="AI509" s="100">
        <v>0</v>
      </c>
    </row>
    <row r="510" spans="1:56" ht="60.75" hidden="1" customHeight="1" x14ac:dyDescent="0.3">
      <c r="A510" s="121" t="s">
        <v>13</v>
      </c>
      <c r="B510" s="122">
        <v>936</v>
      </c>
      <c r="C510" s="91" t="s">
        <v>116</v>
      </c>
      <c r="D510" s="91" t="s">
        <v>191</v>
      </c>
      <c r="E510" s="123" t="s">
        <v>136</v>
      </c>
      <c r="F510" s="91" t="s">
        <v>51</v>
      </c>
      <c r="G510" s="74">
        <f t="shared" ref="G510:H513" si="22">G511</f>
        <v>0</v>
      </c>
      <c r="H510" s="74">
        <f t="shared" si="22"/>
        <v>0</v>
      </c>
      <c r="I510" s="102"/>
    </row>
    <row r="511" spans="1:56" ht="56.25" hidden="1" x14ac:dyDescent="0.3">
      <c r="A511" s="121" t="s">
        <v>14</v>
      </c>
      <c r="B511" s="122">
        <v>936</v>
      </c>
      <c r="C511" s="91" t="s">
        <v>116</v>
      </c>
      <c r="D511" s="91" t="s">
        <v>191</v>
      </c>
      <c r="E511" s="123" t="s">
        <v>30</v>
      </c>
      <c r="F511" s="91" t="s">
        <v>51</v>
      </c>
      <c r="G511" s="74">
        <f t="shared" si="22"/>
        <v>0</v>
      </c>
      <c r="H511" s="74">
        <f t="shared" si="22"/>
        <v>0</v>
      </c>
      <c r="I511" s="102"/>
    </row>
    <row r="512" spans="1:56" hidden="1" x14ac:dyDescent="0.3">
      <c r="A512" s="124" t="s">
        <v>63</v>
      </c>
      <c r="B512" s="122">
        <v>936</v>
      </c>
      <c r="C512" s="91" t="s">
        <v>116</v>
      </c>
      <c r="D512" s="105" t="s">
        <v>191</v>
      </c>
      <c r="E512" s="91" t="s">
        <v>221</v>
      </c>
      <c r="F512" s="91" t="s">
        <v>51</v>
      </c>
      <c r="G512" s="74">
        <f t="shared" si="22"/>
        <v>0</v>
      </c>
      <c r="H512" s="74">
        <f t="shared" si="22"/>
        <v>0</v>
      </c>
      <c r="I512" s="102"/>
    </row>
    <row r="513" spans="1:39" hidden="1" x14ac:dyDescent="0.3">
      <c r="A513" s="124" t="s">
        <v>220</v>
      </c>
      <c r="B513" s="122">
        <v>936</v>
      </c>
      <c r="C513" s="91" t="s">
        <v>116</v>
      </c>
      <c r="D513" s="105" t="s">
        <v>191</v>
      </c>
      <c r="E513" s="91" t="s">
        <v>222</v>
      </c>
      <c r="F513" s="91" t="s">
        <v>51</v>
      </c>
      <c r="G513" s="74">
        <f t="shared" si="22"/>
        <v>0</v>
      </c>
      <c r="H513" s="74">
        <f t="shared" si="22"/>
        <v>0</v>
      </c>
      <c r="I513" s="102"/>
    </row>
    <row r="514" spans="1:39" ht="37.5" hidden="1" x14ac:dyDescent="0.3">
      <c r="A514" s="124" t="s">
        <v>433</v>
      </c>
      <c r="B514" s="122">
        <v>936</v>
      </c>
      <c r="C514" s="91" t="s">
        <v>116</v>
      </c>
      <c r="D514" s="105" t="s">
        <v>191</v>
      </c>
      <c r="E514" s="91" t="s">
        <v>222</v>
      </c>
      <c r="F514" s="91" t="s">
        <v>60</v>
      </c>
      <c r="G514" s="74">
        <v>0</v>
      </c>
      <c r="H514" s="74">
        <v>0</v>
      </c>
      <c r="I514" s="102"/>
      <c r="AI514" s="100">
        <v>37</v>
      </c>
      <c r="AL514" s="102">
        <v>0</v>
      </c>
      <c r="AM514" s="102">
        <v>0</v>
      </c>
    </row>
    <row r="515" spans="1:39" ht="75" hidden="1" x14ac:dyDescent="0.3">
      <c r="A515" s="121" t="s">
        <v>13</v>
      </c>
      <c r="B515" s="9">
        <v>936</v>
      </c>
      <c r="C515" s="10" t="s">
        <v>116</v>
      </c>
      <c r="D515" s="10" t="s">
        <v>191</v>
      </c>
      <c r="E515" s="11" t="s">
        <v>136</v>
      </c>
      <c r="F515" s="10" t="s">
        <v>51</v>
      </c>
      <c r="G515" s="74">
        <f>G516</f>
        <v>0</v>
      </c>
      <c r="H515" s="74">
        <v>0</v>
      </c>
      <c r="I515" s="102"/>
    </row>
    <row r="516" spans="1:39" ht="56.25" hidden="1" x14ac:dyDescent="0.3">
      <c r="A516" s="121" t="s">
        <v>14</v>
      </c>
      <c r="B516" s="9">
        <v>936</v>
      </c>
      <c r="C516" s="10" t="s">
        <v>116</v>
      </c>
      <c r="D516" s="10" t="s">
        <v>191</v>
      </c>
      <c r="E516" s="11" t="s">
        <v>30</v>
      </c>
      <c r="F516" s="10" t="s">
        <v>51</v>
      </c>
      <c r="G516" s="74">
        <f>G517</f>
        <v>0</v>
      </c>
      <c r="H516" s="74">
        <v>0</v>
      </c>
      <c r="I516" s="102"/>
    </row>
    <row r="517" spans="1:39" hidden="1" x14ac:dyDescent="0.3">
      <c r="A517" s="124" t="s">
        <v>63</v>
      </c>
      <c r="B517" s="9">
        <v>936</v>
      </c>
      <c r="C517" s="10" t="s">
        <v>116</v>
      </c>
      <c r="D517" s="221" t="s">
        <v>191</v>
      </c>
      <c r="E517" s="10" t="s">
        <v>221</v>
      </c>
      <c r="F517" s="10" t="s">
        <v>51</v>
      </c>
      <c r="G517" s="74">
        <f>G518</f>
        <v>0</v>
      </c>
      <c r="H517" s="74">
        <v>0</v>
      </c>
      <c r="I517" s="102"/>
    </row>
    <row r="518" spans="1:39" hidden="1" x14ac:dyDescent="0.3">
      <c r="A518" s="124" t="s">
        <v>220</v>
      </c>
      <c r="B518" s="9">
        <v>936</v>
      </c>
      <c r="C518" s="10" t="s">
        <v>116</v>
      </c>
      <c r="D518" s="221" t="s">
        <v>191</v>
      </c>
      <c r="E518" s="10" t="s">
        <v>222</v>
      </c>
      <c r="F518" s="10" t="s">
        <v>51</v>
      </c>
      <c r="G518" s="74">
        <f>G519</f>
        <v>0</v>
      </c>
      <c r="H518" s="74">
        <v>0</v>
      </c>
      <c r="I518" s="102"/>
    </row>
    <row r="519" spans="1:39" ht="37.5" hidden="1" x14ac:dyDescent="0.3">
      <c r="A519" s="124" t="s">
        <v>433</v>
      </c>
      <c r="B519" s="9">
        <v>936</v>
      </c>
      <c r="C519" s="10" t="s">
        <v>116</v>
      </c>
      <c r="D519" s="221" t="s">
        <v>191</v>
      </c>
      <c r="E519" s="10" t="s">
        <v>222</v>
      </c>
      <c r="F519" s="10" t="s">
        <v>60</v>
      </c>
      <c r="G519" s="74">
        <v>0</v>
      </c>
      <c r="H519" s="74">
        <v>0</v>
      </c>
      <c r="I519" s="102"/>
    </row>
    <row r="520" spans="1:39" ht="56.25" x14ac:dyDescent="0.3">
      <c r="A520" s="131" t="s">
        <v>16</v>
      </c>
      <c r="B520" s="122">
        <v>936</v>
      </c>
      <c r="C520" s="91" t="s">
        <v>116</v>
      </c>
      <c r="D520" s="105" t="s">
        <v>191</v>
      </c>
      <c r="E520" s="123" t="s">
        <v>32</v>
      </c>
      <c r="F520" s="123" t="s">
        <v>51</v>
      </c>
      <c r="G520" s="74">
        <f>G524+G528+G521</f>
        <v>8253.8000000000011</v>
      </c>
      <c r="H520" s="74">
        <f>H524+H528+H521</f>
        <v>11724</v>
      </c>
      <c r="I520" s="102"/>
    </row>
    <row r="521" spans="1:39" ht="37.5" hidden="1" outlineLevel="1" x14ac:dyDescent="0.3">
      <c r="A521" s="166" t="s">
        <v>17</v>
      </c>
      <c r="B521" s="122">
        <v>936</v>
      </c>
      <c r="C521" s="91" t="s">
        <v>116</v>
      </c>
      <c r="D521" s="105" t="s">
        <v>191</v>
      </c>
      <c r="E521" s="123" t="s">
        <v>33</v>
      </c>
      <c r="F521" s="138" t="s">
        <v>51</v>
      </c>
      <c r="G521" s="74"/>
      <c r="H521" s="74"/>
      <c r="I521" s="102"/>
    </row>
    <row r="522" spans="1:39" hidden="1" outlineLevel="1" x14ac:dyDescent="0.3">
      <c r="A522" s="130" t="s">
        <v>213</v>
      </c>
      <c r="B522" s="122">
        <v>936</v>
      </c>
      <c r="C522" s="91" t="s">
        <v>116</v>
      </c>
      <c r="D522" s="105" t="s">
        <v>191</v>
      </c>
      <c r="E522" s="128" t="s">
        <v>363</v>
      </c>
      <c r="F522" s="128" t="s">
        <v>51</v>
      </c>
      <c r="G522" s="74"/>
      <c r="H522" s="74"/>
      <c r="I522" s="102"/>
    </row>
    <row r="523" spans="1:39" ht="37.5" hidden="1" outlineLevel="1" x14ac:dyDescent="0.3">
      <c r="A523" s="130" t="s">
        <v>59</v>
      </c>
      <c r="B523" s="122">
        <v>936</v>
      </c>
      <c r="C523" s="91" t="s">
        <v>116</v>
      </c>
      <c r="D523" s="105" t="s">
        <v>191</v>
      </c>
      <c r="E523" s="128" t="s">
        <v>363</v>
      </c>
      <c r="F523" s="128" t="s">
        <v>60</v>
      </c>
      <c r="G523" s="74"/>
      <c r="H523" s="74"/>
      <c r="I523" s="102"/>
    </row>
    <row r="524" spans="1:39" ht="39" hidden="1" customHeight="1" collapsed="1" x14ac:dyDescent="0.3">
      <c r="A524" s="125" t="s">
        <v>18</v>
      </c>
      <c r="B524" s="122">
        <v>936</v>
      </c>
      <c r="C524" s="91" t="s">
        <v>116</v>
      </c>
      <c r="D524" s="105" t="s">
        <v>191</v>
      </c>
      <c r="E524" s="123" t="s">
        <v>34</v>
      </c>
      <c r="F524" s="123" t="s">
        <v>51</v>
      </c>
      <c r="G524" s="74">
        <f t="shared" ref="G524:H526" si="23">G525</f>
        <v>0</v>
      </c>
      <c r="H524" s="74">
        <f t="shared" si="23"/>
        <v>0</v>
      </c>
      <c r="I524" s="102"/>
    </row>
    <row r="525" spans="1:39" ht="25.5" hidden="1" customHeight="1" x14ac:dyDescent="0.3">
      <c r="A525" s="130" t="s">
        <v>63</v>
      </c>
      <c r="B525" s="122">
        <v>936</v>
      </c>
      <c r="C525" s="91" t="s">
        <v>116</v>
      </c>
      <c r="D525" s="105" t="s">
        <v>191</v>
      </c>
      <c r="E525" s="123" t="s">
        <v>352</v>
      </c>
      <c r="F525" s="123" t="s">
        <v>51</v>
      </c>
      <c r="G525" s="74">
        <f t="shared" si="23"/>
        <v>0</v>
      </c>
      <c r="H525" s="74">
        <f t="shared" si="23"/>
        <v>0</v>
      </c>
      <c r="I525" s="102"/>
    </row>
    <row r="526" spans="1:39" hidden="1" x14ac:dyDescent="0.3">
      <c r="A526" s="124" t="s">
        <v>229</v>
      </c>
      <c r="B526" s="122">
        <v>936</v>
      </c>
      <c r="C526" s="91" t="s">
        <v>116</v>
      </c>
      <c r="D526" s="105" t="s">
        <v>191</v>
      </c>
      <c r="E526" s="91" t="s">
        <v>230</v>
      </c>
      <c r="F526" s="91" t="s">
        <v>51</v>
      </c>
      <c r="G526" s="74">
        <f t="shared" si="23"/>
        <v>0</v>
      </c>
      <c r="H526" s="74">
        <f t="shared" si="23"/>
        <v>0</v>
      </c>
      <c r="I526" s="102"/>
    </row>
    <row r="527" spans="1:39" ht="25.5" hidden="1" customHeight="1" x14ac:dyDescent="0.3">
      <c r="A527" s="124" t="s">
        <v>61</v>
      </c>
      <c r="B527" s="122">
        <v>936</v>
      </c>
      <c r="C527" s="91" t="s">
        <v>116</v>
      </c>
      <c r="D527" s="105" t="s">
        <v>191</v>
      </c>
      <c r="E527" s="91" t="s">
        <v>230</v>
      </c>
      <c r="F527" s="91" t="s">
        <v>62</v>
      </c>
      <c r="G527" s="74">
        <v>0</v>
      </c>
      <c r="H527" s="74">
        <v>0</v>
      </c>
      <c r="I527" s="102"/>
      <c r="K527" s="100">
        <v>21.5</v>
      </c>
      <c r="L527" s="100">
        <v>1.57</v>
      </c>
      <c r="AI527" s="100">
        <v>92.4</v>
      </c>
      <c r="AL527" s="102">
        <v>0</v>
      </c>
      <c r="AM527" s="102">
        <v>0</v>
      </c>
    </row>
    <row r="528" spans="1:39" x14ac:dyDescent="0.3">
      <c r="A528" s="124" t="s">
        <v>417</v>
      </c>
      <c r="B528" s="122">
        <v>936</v>
      </c>
      <c r="C528" s="91" t="s">
        <v>116</v>
      </c>
      <c r="D528" s="91" t="s">
        <v>191</v>
      </c>
      <c r="E528" s="91" t="s">
        <v>45</v>
      </c>
      <c r="F528" s="91" t="s">
        <v>51</v>
      </c>
      <c r="G528" s="74">
        <f>G529+G540+G537+G543</f>
        <v>8253.8000000000011</v>
      </c>
      <c r="H528" s="74">
        <f>H529+H540+H537+H543</f>
        <v>11724</v>
      </c>
      <c r="I528" s="102"/>
    </row>
    <row r="529" spans="1:56" ht="37.5" x14ac:dyDescent="0.3">
      <c r="A529" s="124" t="s">
        <v>53</v>
      </c>
      <c r="B529" s="122">
        <v>936</v>
      </c>
      <c r="C529" s="91" t="s">
        <v>116</v>
      </c>
      <c r="D529" s="91" t="s">
        <v>191</v>
      </c>
      <c r="E529" s="91" t="s">
        <v>232</v>
      </c>
      <c r="F529" s="91" t="s">
        <v>51</v>
      </c>
      <c r="G529" s="74">
        <f>G530+G534</f>
        <v>8212.7000000000007</v>
      </c>
      <c r="H529" s="74">
        <f>H530+H534</f>
        <v>11682.9</v>
      </c>
      <c r="I529" s="102"/>
    </row>
    <row r="530" spans="1:56" ht="37.5" x14ac:dyDescent="0.3">
      <c r="A530" s="124" t="s">
        <v>231</v>
      </c>
      <c r="B530" s="122">
        <v>936</v>
      </c>
      <c r="C530" s="91" t="s">
        <v>116</v>
      </c>
      <c r="D530" s="91" t="s">
        <v>191</v>
      </c>
      <c r="E530" s="91" t="s">
        <v>233</v>
      </c>
      <c r="F530" s="91" t="s">
        <v>51</v>
      </c>
      <c r="G530" s="74">
        <f>G531+G532+G533</f>
        <v>8212.7000000000007</v>
      </c>
      <c r="H530" s="74">
        <f>H531+H532+H533</f>
        <v>11682.9</v>
      </c>
      <c r="I530" s="102"/>
    </row>
    <row r="531" spans="1:56" ht="93.75" x14ac:dyDescent="0.3">
      <c r="A531" s="124" t="s">
        <v>57</v>
      </c>
      <c r="B531" s="122">
        <v>936</v>
      </c>
      <c r="C531" s="91" t="s">
        <v>116</v>
      </c>
      <c r="D531" s="91" t="s">
        <v>191</v>
      </c>
      <c r="E531" s="91" t="s">
        <v>233</v>
      </c>
      <c r="F531" s="91" t="s">
        <v>58</v>
      </c>
      <c r="G531" s="74">
        <v>5107</v>
      </c>
      <c r="H531" s="74">
        <v>5107</v>
      </c>
      <c r="I531" s="102"/>
      <c r="AI531" s="100">
        <v>6979.9</v>
      </c>
      <c r="AL531" s="102">
        <v>6979.9</v>
      </c>
      <c r="AM531" s="102">
        <v>6979.9</v>
      </c>
      <c r="AR531" s="101">
        <f>8925.6-0.03</f>
        <v>8925.57</v>
      </c>
      <c r="AT531" s="101">
        <v>8925.6</v>
      </c>
      <c r="BA531" s="227">
        <v>6519.6</v>
      </c>
      <c r="BB531" s="223">
        <v>6519.6</v>
      </c>
    </row>
    <row r="532" spans="1:56" ht="37.5" x14ac:dyDescent="0.3">
      <c r="A532" s="124" t="s">
        <v>433</v>
      </c>
      <c r="B532" s="122">
        <v>936</v>
      </c>
      <c r="C532" s="91" t="s">
        <v>116</v>
      </c>
      <c r="D532" s="91" t="s">
        <v>191</v>
      </c>
      <c r="E532" s="91" t="s">
        <v>233</v>
      </c>
      <c r="F532" s="91" t="s">
        <v>60</v>
      </c>
      <c r="G532" s="74">
        <f>6575.9-2600-0.2-400-470</f>
        <v>3105.7</v>
      </c>
      <c r="H532" s="74">
        <v>6575.9</v>
      </c>
      <c r="I532" s="102"/>
      <c r="R532" s="100">
        <v>-22</v>
      </c>
      <c r="AA532" s="100">
        <v>207.5</v>
      </c>
      <c r="AC532" s="100">
        <v>-1758.19211</v>
      </c>
      <c r="AD532" s="100">
        <v>-157.84487999999999</v>
      </c>
      <c r="AE532" s="100">
        <v>797.5</v>
      </c>
      <c r="AF532" s="100">
        <v>159</v>
      </c>
      <c r="AI532" s="100">
        <v>8145.6</v>
      </c>
      <c r="AL532" s="102">
        <v>4651.3999999999996</v>
      </c>
      <c r="AM532" s="102">
        <v>4651.3999999999996</v>
      </c>
      <c r="AO532" s="103">
        <v>-183.4599</v>
      </c>
      <c r="AP532" s="100">
        <v>-101.5</v>
      </c>
      <c r="AQ532" s="100">
        <f>-20.7+25.9401</f>
        <v>5.2401000000000018</v>
      </c>
      <c r="AR532" s="101">
        <f>6378.4+500+500+20-100</f>
        <v>7298.4</v>
      </c>
      <c r="AT532" s="101">
        <f>6378.4+1000+1000-0.03-100</f>
        <v>8278.369999999999</v>
      </c>
      <c r="AY532" s="100">
        <v>-1.9</v>
      </c>
      <c r="BA532" s="227">
        <f>53.6+9433.9</f>
        <v>9487.5</v>
      </c>
      <c r="BB532" s="223">
        <v>9487.5</v>
      </c>
    </row>
    <row r="533" spans="1:56" hidden="1" x14ac:dyDescent="0.3">
      <c r="A533" s="124" t="s">
        <v>61</v>
      </c>
      <c r="B533" s="122">
        <v>936</v>
      </c>
      <c r="C533" s="91" t="s">
        <v>116</v>
      </c>
      <c r="D533" s="91" t="s">
        <v>191</v>
      </c>
      <c r="E533" s="91" t="s">
        <v>233</v>
      </c>
      <c r="F533" s="91" t="s">
        <v>62</v>
      </c>
      <c r="G533" s="74">
        <v>0</v>
      </c>
      <c r="H533" s="74">
        <v>0</v>
      </c>
      <c r="I533" s="102"/>
      <c r="L533" s="100">
        <f>4</f>
        <v>4</v>
      </c>
      <c r="AI533" s="100">
        <v>0</v>
      </c>
    </row>
    <row r="534" spans="1:56" ht="37.5" hidden="1" x14ac:dyDescent="0.3">
      <c r="A534" s="125" t="s">
        <v>377</v>
      </c>
      <c r="B534" s="122">
        <v>936</v>
      </c>
      <c r="C534" s="91" t="s">
        <v>116</v>
      </c>
      <c r="D534" s="91" t="s">
        <v>191</v>
      </c>
      <c r="E534" s="91" t="s">
        <v>376</v>
      </c>
      <c r="F534" s="91" t="s">
        <v>51</v>
      </c>
      <c r="G534" s="74">
        <f>G536+G535</f>
        <v>0</v>
      </c>
      <c r="H534" s="74">
        <f>H536+H535</f>
        <v>0</v>
      </c>
      <c r="I534" s="102"/>
    </row>
    <row r="535" spans="1:56" ht="93.75" hidden="1" x14ac:dyDescent="0.3">
      <c r="A535" s="124" t="s">
        <v>57</v>
      </c>
      <c r="B535" s="122">
        <v>936</v>
      </c>
      <c r="C535" s="91" t="s">
        <v>116</v>
      </c>
      <c r="D535" s="91" t="s">
        <v>191</v>
      </c>
      <c r="E535" s="91" t="s">
        <v>376</v>
      </c>
      <c r="F535" s="91" t="s">
        <v>58</v>
      </c>
      <c r="G535" s="74">
        <v>0</v>
      </c>
      <c r="H535" s="74">
        <v>0</v>
      </c>
      <c r="I535" s="102"/>
      <c r="AE535" s="100">
        <v>456</v>
      </c>
      <c r="AI535" s="100">
        <v>0</v>
      </c>
    </row>
    <row r="536" spans="1:56" hidden="1" x14ac:dyDescent="0.3">
      <c r="A536" s="124" t="s">
        <v>61</v>
      </c>
      <c r="B536" s="122">
        <v>936</v>
      </c>
      <c r="C536" s="91" t="s">
        <v>116</v>
      </c>
      <c r="D536" s="91" t="s">
        <v>191</v>
      </c>
      <c r="E536" s="91" t="s">
        <v>376</v>
      </c>
      <c r="F536" s="91" t="s">
        <v>62</v>
      </c>
      <c r="G536" s="74">
        <v>0</v>
      </c>
      <c r="H536" s="74">
        <v>0</v>
      </c>
      <c r="I536" s="102"/>
    </row>
    <row r="537" spans="1:56" hidden="1" outlineLevel="1" x14ac:dyDescent="0.3">
      <c r="A537" s="130" t="s">
        <v>63</v>
      </c>
      <c r="B537" s="122">
        <v>936</v>
      </c>
      <c r="C537" s="91" t="s">
        <v>116</v>
      </c>
      <c r="D537" s="91" t="s">
        <v>191</v>
      </c>
      <c r="E537" s="91" t="s">
        <v>396</v>
      </c>
      <c r="F537" s="91" t="s">
        <v>51</v>
      </c>
      <c r="G537" s="74">
        <f>G538</f>
        <v>0</v>
      </c>
      <c r="H537" s="74">
        <f>H538</f>
        <v>0</v>
      </c>
      <c r="I537" s="102"/>
    </row>
    <row r="538" spans="1:56" ht="24" hidden="1" customHeight="1" outlineLevel="1" x14ac:dyDescent="0.3">
      <c r="A538" s="124" t="s">
        <v>394</v>
      </c>
      <c r="B538" s="122">
        <v>936</v>
      </c>
      <c r="C538" s="91" t="s">
        <v>116</v>
      </c>
      <c r="D538" s="91" t="s">
        <v>191</v>
      </c>
      <c r="E538" s="91" t="s">
        <v>395</v>
      </c>
      <c r="F538" s="91" t="s">
        <v>51</v>
      </c>
      <c r="G538" s="74">
        <f>G539</f>
        <v>0</v>
      </c>
      <c r="H538" s="74">
        <f>H539</f>
        <v>0</v>
      </c>
      <c r="I538" s="102"/>
    </row>
    <row r="539" spans="1:56" ht="37.5" hidden="1" outlineLevel="1" x14ac:dyDescent="0.3">
      <c r="A539" s="124" t="s">
        <v>433</v>
      </c>
      <c r="B539" s="122">
        <v>936</v>
      </c>
      <c r="C539" s="91" t="s">
        <v>116</v>
      </c>
      <c r="D539" s="91" t="s">
        <v>191</v>
      </c>
      <c r="E539" s="91" t="s">
        <v>395</v>
      </c>
      <c r="F539" s="91" t="s">
        <v>60</v>
      </c>
      <c r="G539" s="74">
        <v>0</v>
      </c>
      <c r="H539" s="74">
        <v>0</v>
      </c>
      <c r="I539" s="102"/>
    </row>
    <row r="540" spans="1:56" ht="75" hidden="1" x14ac:dyDescent="0.3">
      <c r="A540" s="124" t="s">
        <v>174</v>
      </c>
      <c r="B540" s="122">
        <v>936</v>
      </c>
      <c r="C540" s="91" t="s">
        <v>116</v>
      </c>
      <c r="D540" s="91" t="s">
        <v>191</v>
      </c>
      <c r="E540" s="91" t="s">
        <v>235</v>
      </c>
      <c r="F540" s="91" t="s">
        <v>51</v>
      </c>
      <c r="G540" s="74">
        <f>G541</f>
        <v>41.1</v>
      </c>
      <c r="H540" s="74">
        <f>H541</f>
        <v>41.1</v>
      </c>
      <c r="I540" s="102"/>
    </row>
    <row r="541" spans="1:56" ht="37.5" x14ac:dyDescent="0.3">
      <c r="A541" s="124" t="s">
        <v>234</v>
      </c>
      <c r="B541" s="122">
        <v>936</v>
      </c>
      <c r="C541" s="91" t="s">
        <v>116</v>
      </c>
      <c r="D541" s="91" t="s">
        <v>191</v>
      </c>
      <c r="E541" s="10" t="s">
        <v>816</v>
      </c>
      <c r="F541" s="91" t="s">
        <v>51</v>
      </c>
      <c r="G541" s="74">
        <f>G542</f>
        <v>41.1</v>
      </c>
      <c r="H541" s="74">
        <f>H542</f>
        <v>41.1</v>
      </c>
      <c r="I541" s="102"/>
    </row>
    <row r="542" spans="1:56" ht="37.5" x14ac:dyDescent="0.3">
      <c r="A542" s="124" t="s">
        <v>433</v>
      </c>
      <c r="B542" s="122">
        <v>936</v>
      </c>
      <c r="C542" s="91" t="s">
        <v>116</v>
      </c>
      <c r="D542" s="91" t="s">
        <v>191</v>
      </c>
      <c r="E542" s="10" t="s">
        <v>816</v>
      </c>
      <c r="F542" s="91" t="s">
        <v>60</v>
      </c>
      <c r="G542" s="74">
        <v>41.1</v>
      </c>
      <c r="H542" s="74">
        <v>41.1</v>
      </c>
      <c r="I542" s="102"/>
      <c r="AI542" s="100">
        <v>12</v>
      </c>
      <c r="AL542" s="102">
        <v>12</v>
      </c>
      <c r="AM542" s="102">
        <v>12</v>
      </c>
      <c r="AS542" s="101">
        <v>12.8</v>
      </c>
      <c r="AU542" s="101">
        <v>12.8</v>
      </c>
      <c r="BC542" s="236">
        <v>11.5</v>
      </c>
      <c r="BD542" s="237">
        <v>11.5</v>
      </c>
    </row>
    <row r="543" spans="1:56" ht="37.5" hidden="1" x14ac:dyDescent="0.3">
      <c r="A543" s="124" t="s">
        <v>460</v>
      </c>
      <c r="B543" s="122">
        <v>936</v>
      </c>
      <c r="C543" s="91" t="s">
        <v>116</v>
      </c>
      <c r="D543" s="91" t="s">
        <v>191</v>
      </c>
      <c r="E543" s="91" t="s">
        <v>461</v>
      </c>
      <c r="F543" s="91" t="s">
        <v>51</v>
      </c>
      <c r="G543" s="74">
        <f>G544</f>
        <v>0</v>
      </c>
      <c r="H543" s="74">
        <f>H544</f>
        <v>0</v>
      </c>
      <c r="I543" s="102"/>
    </row>
    <row r="544" spans="1:56" ht="37.5" hidden="1" x14ac:dyDescent="0.3">
      <c r="A544" s="124" t="s">
        <v>433</v>
      </c>
      <c r="B544" s="122">
        <v>936</v>
      </c>
      <c r="C544" s="91" t="s">
        <v>116</v>
      </c>
      <c r="D544" s="91" t="s">
        <v>191</v>
      </c>
      <c r="E544" s="91" t="s">
        <v>461</v>
      </c>
      <c r="F544" s="91" t="s">
        <v>60</v>
      </c>
      <c r="G544" s="74">
        <v>0</v>
      </c>
      <c r="H544" s="74">
        <v>0</v>
      </c>
      <c r="I544" s="102"/>
      <c r="AI544" s="100">
        <v>0</v>
      </c>
    </row>
    <row r="545" spans="1:39" ht="56.25" hidden="1" x14ac:dyDescent="0.3">
      <c r="A545" s="121" t="s">
        <v>20</v>
      </c>
      <c r="B545" s="122">
        <v>936</v>
      </c>
      <c r="C545" s="91" t="s">
        <v>116</v>
      </c>
      <c r="D545" s="105" t="s">
        <v>191</v>
      </c>
      <c r="E545" s="123" t="s">
        <v>21</v>
      </c>
      <c r="F545" s="91" t="s">
        <v>51</v>
      </c>
      <c r="G545" s="74">
        <f>G546+G554+G558</f>
        <v>0</v>
      </c>
      <c r="H545" s="74">
        <f>H546+H554+H558</f>
        <v>0</v>
      </c>
      <c r="I545" s="102"/>
      <c r="AL545" s="100"/>
      <c r="AM545" s="100"/>
    </row>
    <row r="546" spans="1:39" ht="60" hidden="1" customHeight="1" x14ac:dyDescent="0.3">
      <c r="A546" s="167" t="s">
        <v>22</v>
      </c>
      <c r="B546" s="122">
        <v>936</v>
      </c>
      <c r="C546" s="91" t="s">
        <v>116</v>
      </c>
      <c r="D546" s="105" t="s">
        <v>191</v>
      </c>
      <c r="E546" s="123" t="s">
        <v>23</v>
      </c>
      <c r="F546" s="91" t="s">
        <v>51</v>
      </c>
      <c r="G546" s="74">
        <f>G547+G551</f>
        <v>0</v>
      </c>
      <c r="H546" s="74">
        <f>H547+H551</f>
        <v>0</v>
      </c>
      <c r="I546" s="102"/>
      <c r="AL546" s="100"/>
      <c r="AM546" s="100"/>
    </row>
    <row r="547" spans="1:39" hidden="1" x14ac:dyDescent="0.3">
      <c r="A547" s="124" t="s">
        <v>63</v>
      </c>
      <c r="B547" s="122">
        <v>936</v>
      </c>
      <c r="C547" s="91" t="s">
        <v>116</v>
      </c>
      <c r="D547" s="105" t="s">
        <v>191</v>
      </c>
      <c r="E547" s="91" t="s">
        <v>224</v>
      </c>
      <c r="F547" s="91" t="s">
        <v>51</v>
      </c>
      <c r="G547" s="74">
        <f>G548</f>
        <v>0</v>
      </c>
      <c r="H547" s="74">
        <f>H548</f>
        <v>0</v>
      </c>
      <c r="I547" s="102"/>
      <c r="AL547" s="100"/>
      <c r="AM547" s="100"/>
    </row>
    <row r="548" spans="1:39" hidden="1" x14ac:dyDescent="0.3">
      <c r="A548" s="124" t="s">
        <v>223</v>
      </c>
      <c r="B548" s="122">
        <v>936</v>
      </c>
      <c r="C548" s="91" t="s">
        <v>116</v>
      </c>
      <c r="D548" s="105" t="s">
        <v>191</v>
      </c>
      <c r="E548" s="91" t="s">
        <v>225</v>
      </c>
      <c r="F548" s="91" t="s">
        <v>51</v>
      </c>
      <c r="G548" s="74">
        <f>G549+G550</f>
        <v>0</v>
      </c>
      <c r="H548" s="74">
        <f>H549+H550</f>
        <v>0</v>
      </c>
      <c r="I548" s="102"/>
      <c r="AL548" s="100"/>
      <c r="AM548" s="100"/>
    </row>
    <row r="549" spans="1:39" ht="37.5" hidden="1" x14ac:dyDescent="0.3">
      <c r="A549" s="124" t="s">
        <v>433</v>
      </c>
      <c r="B549" s="122">
        <v>936</v>
      </c>
      <c r="C549" s="91" t="s">
        <v>116</v>
      </c>
      <c r="D549" s="105" t="s">
        <v>191</v>
      </c>
      <c r="E549" s="91" t="s">
        <v>225</v>
      </c>
      <c r="F549" s="91" t="s">
        <v>60</v>
      </c>
      <c r="G549" s="74">
        <v>0</v>
      </c>
      <c r="H549" s="74">
        <v>0</v>
      </c>
      <c r="I549" s="102"/>
      <c r="L549" s="100">
        <v>150</v>
      </c>
      <c r="X549" s="100">
        <v>10</v>
      </c>
      <c r="AA549" s="100">
        <v>100</v>
      </c>
      <c r="AC549" s="100">
        <v>200</v>
      </c>
      <c r="AL549" s="100"/>
      <c r="AM549" s="100"/>
    </row>
    <row r="550" spans="1:39" hidden="1" x14ac:dyDescent="0.3">
      <c r="A550" s="124" t="s">
        <v>61</v>
      </c>
      <c r="B550" s="122">
        <v>936</v>
      </c>
      <c r="C550" s="91" t="s">
        <v>116</v>
      </c>
      <c r="D550" s="105" t="s">
        <v>191</v>
      </c>
      <c r="E550" s="91" t="s">
        <v>225</v>
      </c>
      <c r="F550" s="91" t="s">
        <v>62</v>
      </c>
      <c r="G550" s="74">
        <v>0</v>
      </c>
      <c r="H550" s="74">
        <v>0</v>
      </c>
      <c r="I550" s="102"/>
      <c r="K550" s="100">
        <v>200</v>
      </c>
      <c r="AL550" s="100"/>
      <c r="AM550" s="100"/>
    </row>
    <row r="551" spans="1:39" ht="56.25" hidden="1" x14ac:dyDescent="0.3">
      <c r="A551" s="132" t="s">
        <v>501</v>
      </c>
      <c r="B551" s="122">
        <v>936</v>
      </c>
      <c r="C551" s="91" t="s">
        <v>116</v>
      </c>
      <c r="D551" s="105" t="s">
        <v>191</v>
      </c>
      <c r="E551" s="123" t="s">
        <v>457</v>
      </c>
      <c r="F551" s="91" t="s">
        <v>51</v>
      </c>
      <c r="G551" s="74">
        <f>G553+G552</f>
        <v>0</v>
      </c>
      <c r="H551" s="74">
        <f>H553+H552</f>
        <v>0</v>
      </c>
      <c r="I551" s="102"/>
      <c r="AL551" s="100"/>
      <c r="AM551" s="100"/>
    </row>
    <row r="552" spans="1:39" ht="37.5" hidden="1" x14ac:dyDescent="0.3">
      <c r="A552" s="124" t="s">
        <v>433</v>
      </c>
      <c r="B552" s="122">
        <v>936</v>
      </c>
      <c r="C552" s="91" t="s">
        <v>116</v>
      </c>
      <c r="D552" s="105" t="s">
        <v>191</v>
      </c>
      <c r="E552" s="123" t="s">
        <v>457</v>
      </c>
      <c r="F552" s="91" t="s">
        <v>60</v>
      </c>
      <c r="G552" s="74">
        <v>0</v>
      </c>
      <c r="H552" s="74">
        <v>0</v>
      </c>
      <c r="I552" s="102"/>
      <c r="K552" s="100">
        <f>126.3+126.2</f>
        <v>252.5</v>
      </c>
      <c r="AC552" s="100">
        <v>19.429559999999999</v>
      </c>
      <c r="AD552" s="100">
        <v>217.01588000000001</v>
      </c>
      <c r="AL552" s="100"/>
      <c r="AM552" s="100"/>
    </row>
    <row r="553" spans="1:39" ht="29.25" hidden="1" customHeight="1" x14ac:dyDescent="0.3">
      <c r="A553" s="124" t="s">
        <v>61</v>
      </c>
      <c r="B553" s="122">
        <v>936</v>
      </c>
      <c r="C553" s="91" t="s">
        <v>116</v>
      </c>
      <c r="D553" s="105" t="s">
        <v>191</v>
      </c>
      <c r="E553" s="123" t="s">
        <v>457</v>
      </c>
      <c r="F553" s="91" t="s">
        <v>62</v>
      </c>
      <c r="G553" s="74">
        <v>0</v>
      </c>
      <c r="H553" s="74">
        <v>0</v>
      </c>
      <c r="I553" s="102"/>
      <c r="K553" s="100">
        <v>1.78</v>
      </c>
      <c r="AA553" s="100">
        <f>200.64245</f>
        <v>200.64245</v>
      </c>
      <c r="AC553" s="100">
        <v>0.6</v>
      </c>
      <c r="AD553" s="100">
        <v>2.202</v>
      </c>
      <c r="AI553" s="100">
        <v>0</v>
      </c>
      <c r="AL553" s="100"/>
      <c r="AM553" s="100"/>
    </row>
    <row r="554" spans="1:39" hidden="1" outlineLevel="1" x14ac:dyDescent="0.3">
      <c r="A554" s="124" t="s">
        <v>84</v>
      </c>
      <c r="B554" s="122">
        <v>936</v>
      </c>
      <c r="C554" s="91" t="s">
        <v>116</v>
      </c>
      <c r="D554" s="105" t="s">
        <v>191</v>
      </c>
      <c r="E554" s="91" t="s">
        <v>35</v>
      </c>
      <c r="F554" s="91" t="s">
        <v>51</v>
      </c>
      <c r="G554" s="74">
        <f t="shared" ref="G554:H556" si="24">G555</f>
        <v>0</v>
      </c>
      <c r="H554" s="74">
        <f t="shared" si="24"/>
        <v>0</v>
      </c>
      <c r="I554" s="102"/>
      <c r="AL554" s="100"/>
      <c r="AM554" s="100"/>
    </row>
    <row r="555" spans="1:39" hidden="1" outlineLevel="1" x14ac:dyDescent="0.3">
      <c r="A555" s="124" t="s">
        <v>63</v>
      </c>
      <c r="B555" s="122">
        <v>936</v>
      </c>
      <c r="C555" s="91" t="s">
        <v>116</v>
      </c>
      <c r="D555" s="105" t="s">
        <v>191</v>
      </c>
      <c r="E555" s="91" t="s">
        <v>227</v>
      </c>
      <c r="F555" s="91" t="s">
        <v>51</v>
      </c>
      <c r="G555" s="74">
        <f t="shared" si="24"/>
        <v>0</v>
      </c>
      <c r="H555" s="74">
        <f t="shared" si="24"/>
        <v>0</v>
      </c>
      <c r="I555" s="102"/>
      <c r="AL555" s="100"/>
      <c r="AM555" s="100"/>
    </row>
    <row r="556" spans="1:39" hidden="1" outlineLevel="1" x14ac:dyDescent="0.3">
      <c r="A556" s="124" t="s">
        <v>226</v>
      </c>
      <c r="B556" s="122">
        <v>936</v>
      </c>
      <c r="C556" s="91" t="s">
        <v>116</v>
      </c>
      <c r="D556" s="105" t="s">
        <v>191</v>
      </c>
      <c r="E556" s="91" t="s">
        <v>228</v>
      </c>
      <c r="F556" s="91" t="s">
        <v>51</v>
      </c>
      <c r="G556" s="74">
        <f t="shared" si="24"/>
        <v>0</v>
      </c>
      <c r="H556" s="74">
        <f t="shared" si="24"/>
        <v>0</v>
      </c>
      <c r="I556" s="102"/>
      <c r="AL556" s="100"/>
      <c r="AM556" s="100"/>
    </row>
    <row r="557" spans="1:39" ht="37.5" hidden="1" outlineLevel="1" x14ac:dyDescent="0.3">
      <c r="A557" s="124" t="s">
        <v>59</v>
      </c>
      <c r="B557" s="122">
        <v>936</v>
      </c>
      <c r="C557" s="91" t="s">
        <v>116</v>
      </c>
      <c r="D557" s="105" t="s">
        <v>191</v>
      </c>
      <c r="E557" s="91" t="s">
        <v>228</v>
      </c>
      <c r="F557" s="91" t="s">
        <v>60</v>
      </c>
      <c r="G557" s="74"/>
      <c r="H557" s="74"/>
      <c r="I557" s="102"/>
      <c r="AL557" s="100"/>
      <c r="AM557" s="100"/>
    </row>
    <row r="558" spans="1:39" hidden="1" outlineLevel="1" x14ac:dyDescent="0.3">
      <c r="A558" s="96" t="s">
        <v>24</v>
      </c>
      <c r="B558" s="122">
        <v>936</v>
      </c>
      <c r="C558" s="91" t="s">
        <v>116</v>
      </c>
      <c r="D558" s="105" t="s">
        <v>191</v>
      </c>
      <c r="E558" s="91" t="s">
        <v>454</v>
      </c>
      <c r="F558" s="91" t="s">
        <v>51</v>
      </c>
      <c r="G558" s="74">
        <f>G559</f>
        <v>0</v>
      </c>
      <c r="H558" s="74">
        <f>H559</f>
        <v>0</v>
      </c>
      <c r="I558" s="102"/>
      <c r="AL558" s="100"/>
      <c r="AM558" s="100"/>
    </row>
    <row r="559" spans="1:39" ht="56.25" hidden="1" outlineLevel="1" x14ac:dyDescent="0.3">
      <c r="A559" s="132" t="s">
        <v>501</v>
      </c>
      <c r="B559" s="122">
        <v>936</v>
      </c>
      <c r="C559" s="91" t="s">
        <v>116</v>
      </c>
      <c r="D559" s="105" t="s">
        <v>191</v>
      </c>
      <c r="E559" s="123" t="s">
        <v>712</v>
      </c>
      <c r="F559" s="91" t="s">
        <v>51</v>
      </c>
      <c r="G559" s="74">
        <f>G560</f>
        <v>0</v>
      </c>
      <c r="H559" s="74">
        <f>H560</f>
        <v>0</v>
      </c>
      <c r="I559" s="102"/>
      <c r="AL559" s="100"/>
      <c r="AM559" s="100"/>
    </row>
    <row r="560" spans="1:39" hidden="1" outlineLevel="1" x14ac:dyDescent="0.3">
      <c r="A560" s="124" t="s">
        <v>61</v>
      </c>
      <c r="B560" s="122">
        <v>936</v>
      </c>
      <c r="C560" s="91" t="s">
        <v>116</v>
      </c>
      <c r="D560" s="105" t="s">
        <v>191</v>
      </c>
      <c r="E560" s="123" t="s">
        <v>712</v>
      </c>
      <c r="F560" s="91" t="s">
        <v>62</v>
      </c>
      <c r="G560" s="74">
        <v>0</v>
      </c>
      <c r="H560" s="74">
        <v>0</v>
      </c>
      <c r="I560" s="102"/>
      <c r="AA560" s="100">
        <v>3</v>
      </c>
      <c r="AI560" s="100">
        <v>0</v>
      </c>
      <c r="AL560" s="100"/>
      <c r="AM560" s="100"/>
    </row>
    <row r="561" spans="1:51" ht="37.5" collapsed="1" x14ac:dyDescent="0.3">
      <c r="A561" s="119" t="s">
        <v>236</v>
      </c>
      <c r="B561" s="118">
        <v>936</v>
      </c>
      <c r="C561" s="114" t="s">
        <v>118</v>
      </c>
      <c r="D561" s="120" t="s">
        <v>113</v>
      </c>
      <c r="E561" s="114" t="s">
        <v>50</v>
      </c>
      <c r="F561" s="114" t="s">
        <v>51</v>
      </c>
      <c r="G561" s="93">
        <f>G562+G604</f>
        <v>5357.01</v>
      </c>
      <c r="H561" s="93">
        <f>H562+H604</f>
        <v>5357.01</v>
      </c>
      <c r="I561" s="102"/>
      <c r="AL561" s="100"/>
      <c r="AM561" s="100"/>
    </row>
    <row r="562" spans="1:51" ht="60" customHeight="1" x14ac:dyDescent="0.3">
      <c r="A562" s="168" t="s">
        <v>574</v>
      </c>
      <c r="B562" s="118">
        <v>936</v>
      </c>
      <c r="C562" s="114" t="s">
        <v>118</v>
      </c>
      <c r="D562" s="114" t="s">
        <v>170</v>
      </c>
      <c r="E562" s="118" t="s">
        <v>50</v>
      </c>
      <c r="F562" s="114" t="s">
        <v>51</v>
      </c>
      <c r="G562" s="93">
        <f>G563</f>
        <v>5330</v>
      </c>
      <c r="H562" s="93">
        <f t="shared" ref="H562:AV562" si="25">H563</f>
        <v>5330</v>
      </c>
      <c r="I562" s="93">
        <f t="shared" si="25"/>
        <v>0</v>
      </c>
      <c r="J562" s="93">
        <f t="shared" si="25"/>
        <v>0</v>
      </c>
      <c r="K562" s="93">
        <f t="shared" si="25"/>
        <v>0</v>
      </c>
      <c r="L562" s="93">
        <f t="shared" si="25"/>
        <v>0</v>
      </c>
      <c r="M562" s="93">
        <f t="shared" si="25"/>
        <v>0</v>
      </c>
      <c r="N562" s="93">
        <f t="shared" si="25"/>
        <v>0</v>
      </c>
      <c r="O562" s="93">
        <f t="shared" si="25"/>
        <v>0</v>
      </c>
      <c r="P562" s="93">
        <f t="shared" si="25"/>
        <v>0</v>
      </c>
      <c r="Q562" s="93">
        <f t="shared" si="25"/>
        <v>0</v>
      </c>
      <c r="R562" s="93">
        <f t="shared" si="25"/>
        <v>0</v>
      </c>
      <c r="S562" s="93">
        <f t="shared" si="25"/>
        <v>0</v>
      </c>
      <c r="T562" s="93">
        <f t="shared" si="25"/>
        <v>0</v>
      </c>
      <c r="U562" s="93">
        <f t="shared" si="25"/>
        <v>0</v>
      </c>
      <c r="V562" s="93">
        <f t="shared" si="25"/>
        <v>0</v>
      </c>
      <c r="W562" s="93">
        <f t="shared" si="25"/>
        <v>0</v>
      </c>
      <c r="X562" s="93">
        <f t="shared" si="25"/>
        <v>0</v>
      </c>
      <c r="Y562" s="93">
        <f t="shared" si="25"/>
        <v>0</v>
      </c>
      <c r="Z562" s="93">
        <f t="shared" si="25"/>
        <v>0</v>
      </c>
      <c r="AA562" s="93">
        <f t="shared" si="25"/>
        <v>0</v>
      </c>
      <c r="AB562" s="93">
        <f t="shared" si="25"/>
        <v>0</v>
      </c>
      <c r="AC562" s="93">
        <f t="shared" si="25"/>
        <v>0</v>
      </c>
      <c r="AD562" s="93">
        <f t="shared" si="25"/>
        <v>0</v>
      </c>
      <c r="AE562" s="93">
        <f t="shared" si="25"/>
        <v>0</v>
      </c>
      <c r="AF562" s="93">
        <f t="shared" si="25"/>
        <v>0</v>
      </c>
      <c r="AG562" s="93">
        <f t="shared" si="25"/>
        <v>0</v>
      </c>
      <c r="AH562" s="93">
        <f t="shared" si="25"/>
        <v>0</v>
      </c>
      <c r="AI562" s="93">
        <f t="shared" si="25"/>
        <v>0</v>
      </c>
      <c r="AJ562" s="93">
        <f t="shared" si="25"/>
        <v>0</v>
      </c>
      <c r="AK562" s="93">
        <f t="shared" si="25"/>
        <v>0</v>
      </c>
      <c r="AL562" s="93">
        <f t="shared" si="25"/>
        <v>0</v>
      </c>
      <c r="AM562" s="93">
        <f t="shared" si="25"/>
        <v>0</v>
      </c>
      <c r="AN562" s="93">
        <f t="shared" si="25"/>
        <v>0</v>
      </c>
      <c r="AO562" s="93">
        <f t="shared" si="25"/>
        <v>0</v>
      </c>
      <c r="AP562" s="93">
        <f t="shared" si="25"/>
        <v>0</v>
      </c>
      <c r="AQ562" s="93">
        <f t="shared" si="25"/>
        <v>0</v>
      </c>
      <c r="AR562" s="93">
        <f t="shared" si="25"/>
        <v>0</v>
      </c>
      <c r="AS562" s="93">
        <f t="shared" si="25"/>
        <v>0</v>
      </c>
      <c r="AT562" s="93">
        <f t="shared" si="25"/>
        <v>0</v>
      </c>
      <c r="AU562" s="93">
        <f t="shared" si="25"/>
        <v>0</v>
      </c>
      <c r="AV562" s="93">
        <f t="shared" si="25"/>
        <v>0</v>
      </c>
    </row>
    <row r="563" spans="1:51" ht="60.75" customHeight="1" x14ac:dyDescent="0.3">
      <c r="A563" s="121" t="s">
        <v>161</v>
      </c>
      <c r="B563" s="122">
        <v>936</v>
      </c>
      <c r="C563" s="91" t="s">
        <v>118</v>
      </c>
      <c r="D563" s="91" t="s">
        <v>170</v>
      </c>
      <c r="E563" s="123" t="s">
        <v>96</v>
      </c>
      <c r="F563" s="91" t="s">
        <v>51</v>
      </c>
      <c r="G563" s="74">
        <f>G564+G574+G589+G595+G600+G602</f>
        <v>5330</v>
      </c>
      <c r="H563" s="74">
        <f>H564+H574+H589+H595</f>
        <v>5330</v>
      </c>
      <c r="I563" s="102"/>
      <c r="AL563" s="100"/>
      <c r="AM563" s="100"/>
    </row>
    <row r="564" spans="1:51" ht="64.5" customHeight="1" x14ac:dyDescent="0.3">
      <c r="A564" s="121" t="s">
        <v>4</v>
      </c>
      <c r="B564" s="122">
        <v>936</v>
      </c>
      <c r="C564" s="91" t="s">
        <v>118</v>
      </c>
      <c r="D564" s="91" t="s">
        <v>170</v>
      </c>
      <c r="E564" s="123" t="s">
        <v>97</v>
      </c>
      <c r="F564" s="91" t="s">
        <v>51</v>
      </c>
      <c r="G564" s="74">
        <f>G565+G571+G586</f>
        <v>2107.2000000000003</v>
      </c>
      <c r="H564" s="74">
        <f>H565+H571+H586</f>
        <v>2107.2000000000003</v>
      </c>
      <c r="I564" s="102"/>
      <c r="AL564" s="100"/>
      <c r="AM564" s="100"/>
    </row>
    <row r="565" spans="1:51" ht="37.5" hidden="1" x14ac:dyDescent="0.3">
      <c r="A565" s="124" t="s">
        <v>53</v>
      </c>
      <c r="B565" s="122">
        <v>936</v>
      </c>
      <c r="C565" s="91" t="s">
        <v>118</v>
      </c>
      <c r="D565" s="91" t="s">
        <v>129</v>
      </c>
      <c r="E565" s="91" t="s">
        <v>237</v>
      </c>
      <c r="F565" s="91" t="s">
        <v>51</v>
      </c>
      <c r="G565" s="74">
        <f>G566+G569</f>
        <v>0</v>
      </c>
      <c r="H565" s="74">
        <f>H566+H569</f>
        <v>0</v>
      </c>
      <c r="I565" s="102"/>
      <c r="AL565" s="100"/>
      <c r="AM565" s="100"/>
    </row>
    <row r="566" spans="1:51" hidden="1" x14ac:dyDescent="0.3">
      <c r="A566" s="124" t="s">
        <v>83</v>
      </c>
      <c r="B566" s="122">
        <v>936</v>
      </c>
      <c r="C566" s="91" t="s">
        <v>118</v>
      </c>
      <c r="D566" s="91" t="s">
        <v>129</v>
      </c>
      <c r="E566" s="91" t="s">
        <v>238</v>
      </c>
      <c r="F566" s="91" t="s">
        <v>51</v>
      </c>
      <c r="G566" s="74">
        <f>G567+G568</f>
        <v>0</v>
      </c>
      <c r="H566" s="74">
        <f>H567+H568</f>
        <v>0</v>
      </c>
      <c r="I566" s="102"/>
      <c r="AL566" s="100"/>
      <c r="AM566" s="100"/>
    </row>
    <row r="567" spans="1:51" ht="93.75" hidden="1" x14ac:dyDescent="0.3">
      <c r="A567" s="124" t="s">
        <v>57</v>
      </c>
      <c r="B567" s="122">
        <v>936</v>
      </c>
      <c r="C567" s="91" t="s">
        <v>118</v>
      </c>
      <c r="D567" s="91" t="s">
        <v>129</v>
      </c>
      <c r="E567" s="91" t="s">
        <v>238</v>
      </c>
      <c r="F567" s="91" t="s">
        <v>58</v>
      </c>
      <c r="G567" s="74">
        <v>0</v>
      </c>
      <c r="H567" s="74">
        <v>0</v>
      </c>
      <c r="I567" s="102"/>
      <c r="K567" s="100">
        <v>-1350</v>
      </c>
      <c r="AL567" s="100"/>
      <c r="AM567" s="100"/>
    </row>
    <row r="568" spans="1:51" ht="37.5" hidden="1" x14ac:dyDescent="0.3">
      <c r="A568" s="124" t="s">
        <v>433</v>
      </c>
      <c r="B568" s="122">
        <v>936</v>
      </c>
      <c r="C568" s="91" t="s">
        <v>118</v>
      </c>
      <c r="D568" s="91" t="s">
        <v>129</v>
      </c>
      <c r="E568" s="91" t="s">
        <v>238</v>
      </c>
      <c r="F568" s="91" t="s">
        <v>60</v>
      </c>
      <c r="G568" s="74">
        <v>0</v>
      </c>
      <c r="H568" s="74">
        <v>0</v>
      </c>
      <c r="I568" s="102"/>
      <c r="K568" s="100">
        <v>-97.5</v>
      </c>
      <c r="AL568" s="100"/>
      <c r="AM568" s="100"/>
    </row>
    <row r="569" spans="1:51" ht="37.5" hidden="1" x14ac:dyDescent="0.3">
      <c r="A569" s="125" t="s">
        <v>377</v>
      </c>
      <c r="B569" s="122">
        <v>936</v>
      </c>
      <c r="C569" s="91" t="s">
        <v>118</v>
      </c>
      <c r="D569" s="91" t="s">
        <v>129</v>
      </c>
      <c r="E569" s="91" t="s">
        <v>520</v>
      </c>
      <c r="F569" s="91" t="s">
        <v>51</v>
      </c>
      <c r="G569" s="74">
        <f>G570</f>
        <v>0</v>
      </c>
      <c r="H569" s="74">
        <f>H570</f>
        <v>0</v>
      </c>
      <c r="I569" s="102"/>
      <c r="AL569" s="100"/>
      <c r="AM569" s="100"/>
    </row>
    <row r="570" spans="1:51" ht="93.75" hidden="1" x14ac:dyDescent="0.3">
      <c r="A570" s="124" t="s">
        <v>57</v>
      </c>
      <c r="B570" s="122">
        <v>936</v>
      </c>
      <c r="C570" s="91" t="s">
        <v>118</v>
      </c>
      <c r="D570" s="91" t="s">
        <v>129</v>
      </c>
      <c r="E570" s="91" t="s">
        <v>520</v>
      </c>
      <c r="F570" s="91" t="s">
        <v>58</v>
      </c>
      <c r="G570" s="74">
        <v>0</v>
      </c>
      <c r="H570" s="74">
        <v>0</v>
      </c>
      <c r="I570" s="102"/>
      <c r="AL570" s="100"/>
      <c r="AM570" s="100"/>
    </row>
    <row r="571" spans="1:51" ht="56.25" hidden="1" x14ac:dyDescent="0.3">
      <c r="A571" s="124" t="s">
        <v>451</v>
      </c>
      <c r="B571" s="122">
        <v>936</v>
      </c>
      <c r="C571" s="91" t="s">
        <v>118</v>
      </c>
      <c r="D571" s="91" t="s">
        <v>170</v>
      </c>
      <c r="E571" s="91" t="s">
        <v>452</v>
      </c>
      <c r="F571" s="91" t="s">
        <v>51</v>
      </c>
      <c r="G571" s="74">
        <f>G572+G573</f>
        <v>0</v>
      </c>
      <c r="H571" s="74">
        <f>H572+H573</f>
        <v>0</v>
      </c>
      <c r="I571" s="102"/>
      <c r="AL571" s="100"/>
      <c r="AM571" s="100"/>
    </row>
    <row r="572" spans="1:51" ht="57.75" hidden="1" customHeight="1" x14ac:dyDescent="0.3">
      <c r="A572" s="124" t="s">
        <v>57</v>
      </c>
      <c r="B572" s="122">
        <v>936</v>
      </c>
      <c r="C572" s="91" t="s">
        <v>118</v>
      </c>
      <c r="D572" s="91" t="s">
        <v>170</v>
      </c>
      <c r="E572" s="91" t="s">
        <v>452</v>
      </c>
      <c r="F572" s="91" t="s">
        <v>58</v>
      </c>
      <c r="G572" s="74">
        <v>0</v>
      </c>
      <c r="H572" s="74">
        <v>0</v>
      </c>
      <c r="I572" s="102"/>
      <c r="AL572" s="100"/>
      <c r="AM572" s="100"/>
      <c r="AW572" s="219">
        <v>991.5</v>
      </c>
      <c r="AY572" s="100">
        <v>991.5</v>
      </c>
    </row>
    <row r="573" spans="1:51" ht="37.5" hidden="1" x14ac:dyDescent="0.3">
      <c r="A573" s="124" t="s">
        <v>433</v>
      </c>
      <c r="B573" s="122">
        <v>936</v>
      </c>
      <c r="C573" s="91" t="s">
        <v>118</v>
      </c>
      <c r="D573" s="91" t="s">
        <v>170</v>
      </c>
      <c r="E573" s="91" t="s">
        <v>452</v>
      </c>
      <c r="F573" s="91" t="s">
        <v>60</v>
      </c>
      <c r="G573" s="74">
        <v>0</v>
      </c>
      <c r="H573" s="74">
        <v>0</v>
      </c>
      <c r="I573" s="102"/>
      <c r="AL573" s="100"/>
      <c r="AM573" s="100"/>
      <c r="AW573" s="219">
        <v>161.9</v>
      </c>
      <c r="AY573" s="100">
        <v>161.9</v>
      </c>
    </row>
    <row r="574" spans="1:51" ht="75" hidden="1" x14ac:dyDescent="0.3">
      <c r="A574" s="121" t="s">
        <v>5</v>
      </c>
      <c r="B574" s="122">
        <v>936</v>
      </c>
      <c r="C574" s="91" t="s">
        <v>118</v>
      </c>
      <c r="D574" s="91" t="s">
        <v>129</v>
      </c>
      <c r="E574" s="123" t="s">
        <v>98</v>
      </c>
      <c r="F574" s="91" t="s">
        <v>51</v>
      </c>
      <c r="G574" s="74">
        <f>G575</f>
        <v>0</v>
      </c>
      <c r="H574" s="74">
        <f>H575</f>
        <v>0</v>
      </c>
      <c r="I574" s="102"/>
      <c r="AL574" s="100"/>
      <c r="AM574" s="100"/>
    </row>
    <row r="575" spans="1:51" ht="37.5" hidden="1" x14ac:dyDescent="0.3">
      <c r="A575" s="124" t="s">
        <v>53</v>
      </c>
      <c r="B575" s="122">
        <v>936</v>
      </c>
      <c r="C575" s="91" t="s">
        <v>118</v>
      </c>
      <c r="D575" s="91" t="s">
        <v>129</v>
      </c>
      <c r="E575" s="91" t="s">
        <v>240</v>
      </c>
      <c r="F575" s="91" t="s">
        <v>51</v>
      </c>
      <c r="G575" s="74">
        <f>G576+G580</f>
        <v>0</v>
      </c>
      <c r="H575" s="74">
        <f>H576+H580</f>
        <v>0</v>
      </c>
      <c r="I575" s="102"/>
      <c r="AL575" s="100"/>
      <c r="AM575" s="100"/>
    </row>
    <row r="576" spans="1:51" hidden="1" x14ac:dyDescent="0.3">
      <c r="A576" s="124" t="s">
        <v>239</v>
      </c>
      <c r="B576" s="122">
        <v>936</v>
      </c>
      <c r="C576" s="91" t="s">
        <v>118</v>
      </c>
      <c r="D576" s="91" t="s">
        <v>129</v>
      </c>
      <c r="E576" s="91" t="s">
        <v>241</v>
      </c>
      <c r="F576" s="91" t="s">
        <v>51</v>
      </c>
      <c r="G576" s="74">
        <f>G577+G578+G579</f>
        <v>0</v>
      </c>
      <c r="H576" s="74">
        <f>H577+H578+H579</f>
        <v>0</v>
      </c>
      <c r="I576" s="102"/>
      <c r="AL576" s="100"/>
      <c r="AM576" s="100"/>
    </row>
    <row r="577" spans="1:54" ht="93.75" hidden="1" x14ac:dyDescent="0.3">
      <c r="A577" s="124" t="s">
        <v>57</v>
      </c>
      <c r="B577" s="122">
        <v>936</v>
      </c>
      <c r="C577" s="91" t="s">
        <v>118</v>
      </c>
      <c r="D577" s="91" t="s">
        <v>129</v>
      </c>
      <c r="E577" s="91" t="s">
        <v>241</v>
      </c>
      <c r="F577" s="91" t="s">
        <v>58</v>
      </c>
      <c r="G577" s="74">
        <v>0</v>
      </c>
      <c r="H577" s="74">
        <v>0</v>
      </c>
      <c r="I577" s="102"/>
      <c r="K577" s="100">
        <v>-1687.1</v>
      </c>
    </row>
    <row r="578" spans="1:54" ht="37.5" hidden="1" x14ac:dyDescent="0.3">
      <c r="A578" s="124" t="s">
        <v>433</v>
      </c>
      <c r="B578" s="122">
        <v>936</v>
      </c>
      <c r="C578" s="91" t="s">
        <v>118</v>
      </c>
      <c r="D578" s="91" t="s">
        <v>129</v>
      </c>
      <c r="E578" s="91" t="s">
        <v>241</v>
      </c>
      <c r="F578" s="91" t="s">
        <v>60</v>
      </c>
      <c r="G578" s="74">
        <v>0</v>
      </c>
      <c r="H578" s="74">
        <v>0</v>
      </c>
      <c r="I578" s="102"/>
      <c r="K578" s="100">
        <v>-261.5</v>
      </c>
    </row>
    <row r="579" spans="1:54" hidden="1" x14ac:dyDescent="0.3">
      <c r="A579" s="124" t="s">
        <v>61</v>
      </c>
      <c r="B579" s="122">
        <v>936</v>
      </c>
      <c r="C579" s="91" t="s">
        <v>118</v>
      </c>
      <c r="D579" s="91" t="s">
        <v>129</v>
      </c>
      <c r="E579" s="91" t="s">
        <v>241</v>
      </c>
      <c r="F579" s="91" t="s">
        <v>62</v>
      </c>
      <c r="G579" s="74">
        <v>0</v>
      </c>
      <c r="H579" s="74">
        <v>0</v>
      </c>
      <c r="I579" s="102"/>
      <c r="K579" s="100">
        <v>-7.2</v>
      </c>
    </row>
    <row r="580" spans="1:54" ht="37.5" hidden="1" x14ac:dyDescent="0.3">
      <c r="A580" s="125" t="s">
        <v>377</v>
      </c>
      <c r="B580" s="122">
        <v>936</v>
      </c>
      <c r="C580" s="91" t="s">
        <v>118</v>
      </c>
      <c r="D580" s="91" t="s">
        <v>129</v>
      </c>
      <c r="E580" s="91" t="s">
        <v>521</v>
      </c>
      <c r="F580" s="91" t="s">
        <v>51</v>
      </c>
      <c r="G580" s="74">
        <f>G581</f>
        <v>0</v>
      </c>
      <c r="H580" s="74">
        <f>H581</f>
        <v>0</v>
      </c>
      <c r="I580" s="102"/>
    </row>
    <row r="581" spans="1:54" ht="93.75" hidden="1" x14ac:dyDescent="0.3">
      <c r="A581" s="124" t="s">
        <v>57</v>
      </c>
      <c r="B581" s="122">
        <v>936</v>
      </c>
      <c r="C581" s="91" t="s">
        <v>118</v>
      </c>
      <c r="D581" s="91" t="s">
        <v>129</v>
      </c>
      <c r="E581" s="91" t="s">
        <v>521</v>
      </c>
      <c r="F581" s="91" t="s">
        <v>58</v>
      </c>
      <c r="G581" s="74">
        <v>0</v>
      </c>
      <c r="H581" s="74">
        <v>0</v>
      </c>
      <c r="I581" s="102"/>
    </row>
    <row r="582" spans="1:54" ht="68.25" hidden="1" customHeight="1" x14ac:dyDescent="0.3">
      <c r="A582" s="121" t="s">
        <v>4</v>
      </c>
      <c r="B582" s="122">
        <v>936</v>
      </c>
      <c r="C582" s="91" t="s">
        <v>118</v>
      </c>
      <c r="D582" s="91" t="s">
        <v>170</v>
      </c>
      <c r="E582" s="91" t="s">
        <v>97</v>
      </c>
      <c r="F582" s="91" t="s">
        <v>51</v>
      </c>
      <c r="G582" s="74">
        <v>0</v>
      </c>
      <c r="H582" s="74">
        <v>0</v>
      </c>
      <c r="I582" s="102"/>
    </row>
    <row r="583" spans="1:54" ht="56.25" hidden="1" x14ac:dyDescent="0.3">
      <c r="A583" s="124" t="s">
        <v>451</v>
      </c>
      <c r="B583" s="122">
        <v>936</v>
      </c>
      <c r="C583" s="91" t="s">
        <v>118</v>
      </c>
      <c r="D583" s="91" t="s">
        <v>170</v>
      </c>
      <c r="E583" s="91" t="s">
        <v>452</v>
      </c>
      <c r="F583" s="91" t="s">
        <v>51</v>
      </c>
      <c r="G583" s="74">
        <f>G584+G585</f>
        <v>0</v>
      </c>
      <c r="H583" s="74">
        <f>H584+H585</f>
        <v>0</v>
      </c>
      <c r="I583" s="102"/>
    </row>
    <row r="584" spans="1:54" ht="93.75" hidden="1" x14ac:dyDescent="0.3">
      <c r="A584" s="124" t="s">
        <v>57</v>
      </c>
      <c r="B584" s="122">
        <v>936</v>
      </c>
      <c r="C584" s="91" t="s">
        <v>118</v>
      </c>
      <c r="D584" s="91" t="s">
        <v>170</v>
      </c>
      <c r="E584" s="91" t="s">
        <v>452</v>
      </c>
      <c r="F584" s="91" t="s">
        <v>58</v>
      </c>
      <c r="G584" s="74">
        <v>0</v>
      </c>
      <c r="H584" s="74">
        <v>0</v>
      </c>
      <c r="I584" s="102"/>
      <c r="K584" s="100">
        <v>747.1</v>
      </c>
      <c r="AI584" s="100">
        <v>0</v>
      </c>
    </row>
    <row r="585" spans="1:54" ht="37.5" hidden="1" x14ac:dyDescent="0.3">
      <c r="A585" s="124" t="s">
        <v>433</v>
      </c>
      <c r="B585" s="122">
        <v>936</v>
      </c>
      <c r="C585" s="91" t="s">
        <v>118</v>
      </c>
      <c r="D585" s="91" t="s">
        <v>170</v>
      </c>
      <c r="E585" s="91" t="s">
        <v>452</v>
      </c>
      <c r="F585" s="91" t="s">
        <v>60</v>
      </c>
      <c r="G585" s="74">
        <v>0</v>
      </c>
      <c r="H585" s="74">
        <v>0</v>
      </c>
      <c r="I585" s="102"/>
      <c r="K585" s="100">
        <v>75</v>
      </c>
      <c r="AI585" s="100">
        <v>0</v>
      </c>
    </row>
    <row r="586" spans="1:54" x14ac:dyDescent="0.3">
      <c r="A586" s="124" t="s">
        <v>83</v>
      </c>
      <c r="B586" s="122">
        <v>936</v>
      </c>
      <c r="C586" s="91" t="s">
        <v>118</v>
      </c>
      <c r="D586" s="91" t="s">
        <v>170</v>
      </c>
      <c r="E586" s="91" t="s">
        <v>238</v>
      </c>
      <c r="F586" s="91" t="s">
        <v>51</v>
      </c>
      <c r="G586" s="74">
        <f>G587+G588</f>
        <v>2107.2000000000003</v>
      </c>
      <c r="H586" s="74">
        <f>H587+H588</f>
        <v>2107.2000000000003</v>
      </c>
      <c r="I586" s="102"/>
    </row>
    <row r="587" spans="1:54" ht="93.75" x14ac:dyDescent="0.3">
      <c r="A587" s="124" t="s">
        <v>57</v>
      </c>
      <c r="B587" s="122">
        <v>936</v>
      </c>
      <c r="C587" s="91" t="s">
        <v>118</v>
      </c>
      <c r="D587" s="91" t="s">
        <v>170</v>
      </c>
      <c r="E587" s="91" t="s">
        <v>238</v>
      </c>
      <c r="F587" s="91" t="s">
        <v>58</v>
      </c>
      <c r="G587" s="74">
        <v>1883.9</v>
      </c>
      <c r="H587" s="74">
        <v>1883.9</v>
      </c>
      <c r="I587" s="102"/>
      <c r="K587" s="100">
        <v>1350</v>
      </c>
      <c r="L587" s="100">
        <v>-571.29999999999995</v>
      </c>
      <c r="AI587" s="100">
        <v>1681.6</v>
      </c>
      <c r="AL587" s="102">
        <v>1681.6</v>
      </c>
      <c r="AM587" s="102">
        <v>1681.6</v>
      </c>
      <c r="AR587" s="101">
        <v>901.5</v>
      </c>
      <c r="AT587" s="101">
        <v>901.5</v>
      </c>
      <c r="BA587" s="227">
        <v>1107.3</v>
      </c>
      <c r="BB587" s="223">
        <v>1107.3</v>
      </c>
    </row>
    <row r="588" spans="1:54" ht="37.5" x14ac:dyDescent="0.3">
      <c r="A588" s="124" t="s">
        <v>433</v>
      </c>
      <c r="B588" s="122">
        <v>936</v>
      </c>
      <c r="C588" s="91" t="s">
        <v>118</v>
      </c>
      <c r="D588" s="91" t="s">
        <v>170</v>
      </c>
      <c r="E588" s="91" t="s">
        <v>238</v>
      </c>
      <c r="F588" s="91" t="s">
        <v>60</v>
      </c>
      <c r="G588" s="74">
        <f>134+89.3</f>
        <v>223.3</v>
      </c>
      <c r="H588" s="74">
        <v>223.3</v>
      </c>
      <c r="I588" s="102"/>
      <c r="K588" s="100">
        <v>97.5</v>
      </c>
      <c r="L588" s="100">
        <v>195.5</v>
      </c>
      <c r="AF588" s="100">
        <v>-78.5</v>
      </c>
      <c r="AI588" s="100">
        <v>132.6</v>
      </c>
      <c r="AL588" s="102">
        <v>132.6</v>
      </c>
      <c r="AM588" s="102">
        <v>132.6</v>
      </c>
      <c r="AR588" s="101">
        <v>130</v>
      </c>
      <c r="AT588" s="101">
        <v>130</v>
      </c>
      <c r="BA588" s="227">
        <v>149.4</v>
      </c>
      <c r="BB588" s="223">
        <v>149.4</v>
      </c>
    </row>
    <row r="589" spans="1:54" ht="75" x14ac:dyDescent="0.3">
      <c r="A589" s="121" t="s">
        <v>5</v>
      </c>
      <c r="B589" s="122">
        <v>936</v>
      </c>
      <c r="C589" s="91" t="s">
        <v>118</v>
      </c>
      <c r="D589" s="91" t="s">
        <v>170</v>
      </c>
      <c r="E589" s="123" t="s">
        <v>98</v>
      </c>
      <c r="F589" s="91" t="s">
        <v>51</v>
      </c>
      <c r="G589" s="74">
        <f>G591</f>
        <v>2722.8</v>
      </c>
      <c r="H589" s="74">
        <f>H591</f>
        <v>2722.8</v>
      </c>
      <c r="I589" s="102"/>
    </row>
    <row r="590" spans="1:54" ht="37.5" x14ac:dyDescent="0.3">
      <c r="A590" s="124" t="s">
        <v>53</v>
      </c>
      <c r="B590" s="122">
        <v>936</v>
      </c>
      <c r="C590" s="91" t="s">
        <v>118</v>
      </c>
      <c r="D590" s="91" t="s">
        <v>170</v>
      </c>
      <c r="E590" s="91" t="s">
        <v>240</v>
      </c>
      <c r="F590" s="91" t="s">
        <v>51</v>
      </c>
      <c r="G590" s="74">
        <f>G591</f>
        <v>2722.8</v>
      </c>
      <c r="H590" s="74">
        <f>H591</f>
        <v>2722.8</v>
      </c>
      <c r="I590" s="102"/>
    </row>
    <row r="591" spans="1:54" ht="28.5" customHeight="1" x14ac:dyDescent="0.3">
      <c r="A591" s="124" t="s">
        <v>239</v>
      </c>
      <c r="B591" s="122">
        <v>936</v>
      </c>
      <c r="C591" s="91" t="s">
        <v>118</v>
      </c>
      <c r="D591" s="91" t="s">
        <v>170</v>
      </c>
      <c r="E591" s="91" t="s">
        <v>241</v>
      </c>
      <c r="F591" s="91" t="s">
        <v>51</v>
      </c>
      <c r="G591" s="74">
        <f>G592+G593+G594</f>
        <v>2722.8</v>
      </c>
      <c r="H591" s="74">
        <f>H592+H593+H594</f>
        <v>2722.8</v>
      </c>
      <c r="I591" s="102"/>
    </row>
    <row r="592" spans="1:54" ht="93.75" x14ac:dyDescent="0.3">
      <c r="A592" s="124" t="s">
        <v>57</v>
      </c>
      <c r="B592" s="122">
        <v>936</v>
      </c>
      <c r="C592" s="91" t="s">
        <v>118</v>
      </c>
      <c r="D592" s="91" t="s">
        <v>170</v>
      </c>
      <c r="E592" s="91" t="s">
        <v>241</v>
      </c>
      <c r="F592" s="91" t="s">
        <v>58</v>
      </c>
      <c r="G592" s="74">
        <v>2444.9</v>
      </c>
      <c r="H592" s="74">
        <v>2444.9</v>
      </c>
      <c r="I592" s="102"/>
      <c r="K592" s="100">
        <v>1687.1</v>
      </c>
      <c r="AI592" s="100">
        <v>1634.3</v>
      </c>
      <c r="AL592" s="102">
        <v>1634.3</v>
      </c>
      <c r="AM592" s="102">
        <v>1634.3</v>
      </c>
      <c r="AR592" s="101">
        <v>1965</v>
      </c>
      <c r="AT592" s="101">
        <v>1965</v>
      </c>
      <c r="BA592" s="227">
        <v>2025.7</v>
      </c>
      <c r="BB592" s="223">
        <v>2025.7</v>
      </c>
    </row>
    <row r="593" spans="1:54" ht="37.5" x14ac:dyDescent="0.3">
      <c r="A593" s="124" t="s">
        <v>433</v>
      </c>
      <c r="B593" s="122">
        <v>936</v>
      </c>
      <c r="C593" s="91" t="s">
        <v>118</v>
      </c>
      <c r="D593" s="91" t="s">
        <v>170</v>
      </c>
      <c r="E593" s="91" t="s">
        <v>241</v>
      </c>
      <c r="F593" s="91" t="s">
        <v>60</v>
      </c>
      <c r="G593" s="74">
        <f>230.2+42.7</f>
        <v>272.89999999999998</v>
      </c>
      <c r="H593" s="74">
        <v>272.89999999999998</v>
      </c>
      <c r="I593" s="102"/>
      <c r="K593" s="100">
        <v>261.5</v>
      </c>
      <c r="R593" s="100">
        <v>5.5</v>
      </c>
      <c r="AF593" s="100">
        <v>-38.695999999999998</v>
      </c>
      <c r="AI593" s="100">
        <v>342.4</v>
      </c>
      <c r="AL593" s="102">
        <v>76.400000000000006</v>
      </c>
      <c r="AM593" s="102">
        <v>76.400000000000006</v>
      </c>
      <c r="AR593" s="101">
        <v>70</v>
      </c>
      <c r="AT593" s="101">
        <v>70</v>
      </c>
      <c r="BA593" s="227">
        <f>293.78+28.6</f>
        <v>322.38</v>
      </c>
      <c r="BB593" s="223">
        <v>322.38</v>
      </c>
    </row>
    <row r="594" spans="1:54" ht="23.25" customHeight="1" x14ac:dyDescent="0.3">
      <c r="A594" s="124" t="s">
        <v>61</v>
      </c>
      <c r="B594" s="122">
        <v>936</v>
      </c>
      <c r="C594" s="91" t="s">
        <v>118</v>
      </c>
      <c r="D594" s="91" t="s">
        <v>170</v>
      </c>
      <c r="E594" s="91" t="s">
        <v>241</v>
      </c>
      <c r="F594" s="91" t="s">
        <v>62</v>
      </c>
      <c r="G594" s="74">
        <v>5</v>
      </c>
      <c r="H594" s="74">
        <v>5</v>
      </c>
      <c r="I594" s="102"/>
      <c r="K594" s="100">
        <v>7.2</v>
      </c>
      <c r="R594" s="100">
        <v>5</v>
      </c>
      <c r="AI594" s="100">
        <v>0</v>
      </c>
      <c r="BA594" s="227">
        <v>5</v>
      </c>
      <c r="BB594" s="223">
        <v>5</v>
      </c>
    </row>
    <row r="595" spans="1:54" x14ac:dyDescent="0.3">
      <c r="A595" s="124" t="s">
        <v>417</v>
      </c>
      <c r="B595" s="122">
        <v>936</v>
      </c>
      <c r="C595" s="91" t="s">
        <v>118</v>
      </c>
      <c r="D595" s="91" t="s">
        <v>170</v>
      </c>
      <c r="E595" s="91" t="s">
        <v>734</v>
      </c>
      <c r="F595" s="91" t="s">
        <v>51</v>
      </c>
      <c r="G595" s="74">
        <f>G596</f>
        <v>500</v>
      </c>
      <c r="H595" s="74">
        <f>H596</f>
        <v>500</v>
      </c>
      <c r="I595" s="102"/>
    </row>
    <row r="596" spans="1:54" ht="37.5" x14ac:dyDescent="0.3">
      <c r="A596" s="124" t="s">
        <v>762</v>
      </c>
      <c r="B596" s="9">
        <v>936</v>
      </c>
      <c r="C596" s="10" t="s">
        <v>118</v>
      </c>
      <c r="D596" s="10" t="s">
        <v>170</v>
      </c>
      <c r="E596" s="10" t="s">
        <v>763</v>
      </c>
      <c r="F596" s="10" t="s">
        <v>51</v>
      </c>
      <c r="G596" s="74">
        <f>G597</f>
        <v>500</v>
      </c>
      <c r="H596" s="74">
        <f>H597</f>
        <v>500</v>
      </c>
      <c r="I596" s="102"/>
    </row>
    <row r="597" spans="1:54" ht="37.5" x14ac:dyDescent="0.3">
      <c r="A597" s="124" t="s">
        <v>433</v>
      </c>
      <c r="B597" s="9">
        <v>936</v>
      </c>
      <c r="C597" s="10" t="s">
        <v>118</v>
      </c>
      <c r="D597" s="10" t="s">
        <v>170</v>
      </c>
      <c r="E597" s="10" t="s">
        <v>763</v>
      </c>
      <c r="F597" s="10" t="s">
        <v>60</v>
      </c>
      <c r="G597" s="74">
        <v>500</v>
      </c>
      <c r="H597" s="74">
        <v>500</v>
      </c>
      <c r="I597" s="102"/>
    </row>
    <row r="598" spans="1:54" ht="37.5" hidden="1" x14ac:dyDescent="0.3">
      <c r="A598" s="124" t="s">
        <v>735</v>
      </c>
      <c r="B598" s="122">
        <v>936</v>
      </c>
      <c r="C598" s="91" t="s">
        <v>118</v>
      </c>
      <c r="D598" s="91" t="s">
        <v>170</v>
      </c>
      <c r="E598" s="91" t="s">
        <v>737</v>
      </c>
      <c r="F598" s="91" t="s">
        <v>51</v>
      </c>
      <c r="G598" s="74">
        <f>G599</f>
        <v>0</v>
      </c>
      <c r="H598" s="74">
        <f>H599</f>
        <v>0</v>
      </c>
      <c r="I598" s="102"/>
    </row>
    <row r="599" spans="1:54" hidden="1" x14ac:dyDescent="0.3">
      <c r="A599" s="124" t="s">
        <v>736</v>
      </c>
      <c r="B599" s="122">
        <v>936</v>
      </c>
      <c r="C599" s="91" t="s">
        <v>118</v>
      </c>
      <c r="D599" s="91" t="s">
        <v>170</v>
      </c>
      <c r="E599" s="91" t="s">
        <v>738</v>
      </c>
      <c r="F599" s="91" t="s">
        <v>60</v>
      </c>
      <c r="G599" s="74">
        <v>0</v>
      </c>
      <c r="H599" s="74">
        <v>0</v>
      </c>
      <c r="I599" s="102"/>
      <c r="AI599" s="100">
        <v>1814</v>
      </c>
      <c r="AL599" s="102">
        <v>0</v>
      </c>
      <c r="AM599" s="102">
        <v>0</v>
      </c>
    </row>
    <row r="600" spans="1:54" ht="56.25" hidden="1" x14ac:dyDescent="0.3">
      <c r="A600" s="124" t="s">
        <v>809</v>
      </c>
      <c r="B600" s="9">
        <v>936</v>
      </c>
      <c r="C600" s="10" t="s">
        <v>118</v>
      </c>
      <c r="D600" s="10" t="s">
        <v>170</v>
      </c>
      <c r="E600" s="10" t="s">
        <v>810</v>
      </c>
      <c r="F600" s="10" t="s">
        <v>51</v>
      </c>
      <c r="G600" s="74">
        <f>G601</f>
        <v>0</v>
      </c>
      <c r="H600" s="74"/>
      <c r="I600" s="102"/>
    </row>
    <row r="601" spans="1:54" ht="56.25" hidden="1" x14ac:dyDescent="0.3">
      <c r="A601" s="124" t="s">
        <v>293</v>
      </c>
      <c r="B601" s="9">
        <v>936</v>
      </c>
      <c r="C601" s="10" t="s">
        <v>118</v>
      </c>
      <c r="D601" s="10" t="s">
        <v>170</v>
      </c>
      <c r="E601" s="10" t="s">
        <v>810</v>
      </c>
      <c r="F601" s="10" t="s">
        <v>294</v>
      </c>
      <c r="G601" s="74">
        <v>0</v>
      </c>
      <c r="H601" s="74"/>
      <c r="I601" s="102"/>
    </row>
    <row r="602" spans="1:54" ht="56.25" hidden="1" x14ac:dyDescent="0.3">
      <c r="A602" s="124" t="s">
        <v>809</v>
      </c>
      <c r="B602" s="9">
        <v>936</v>
      </c>
      <c r="C602" s="10" t="s">
        <v>118</v>
      </c>
      <c r="D602" s="10" t="s">
        <v>170</v>
      </c>
      <c r="E602" s="10" t="s">
        <v>811</v>
      </c>
      <c r="F602" s="10" t="s">
        <v>51</v>
      </c>
      <c r="G602" s="74">
        <f>G603</f>
        <v>0</v>
      </c>
      <c r="H602" s="74"/>
      <c r="I602" s="102"/>
    </row>
    <row r="603" spans="1:54" ht="56.25" hidden="1" x14ac:dyDescent="0.3">
      <c r="A603" s="124" t="s">
        <v>293</v>
      </c>
      <c r="B603" s="9">
        <v>936</v>
      </c>
      <c r="C603" s="10" t="s">
        <v>118</v>
      </c>
      <c r="D603" s="10" t="s">
        <v>170</v>
      </c>
      <c r="E603" s="10" t="s">
        <v>811</v>
      </c>
      <c r="F603" s="10" t="s">
        <v>294</v>
      </c>
      <c r="G603" s="74">
        <v>0</v>
      </c>
      <c r="H603" s="74"/>
      <c r="I603" s="102"/>
    </row>
    <row r="604" spans="1:54" ht="56.25" x14ac:dyDescent="0.3">
      <c r="A604" s="119" t="s">
        <v>242</v>
      </c>
      <c r="B604" s="118">
        <v>936</v>
      </c>
      <c r="C604" s="114" t="s">
        <v>118</v>
      </c>
      <c r="D604" s="114" t="s">
        <v>243</v>
      </c>
      <c r="E604" s="114" t="s">
        <v>50</v>
      </c>
      <c r="F604" s="114" t="s">
        <v>51</v>
      </c>
      <c r="G604" s="93">
        <f>G605+G612+G614</f>
        <v>27.009999999999998</v>
      </c>
      <c r="H604" s="93">
        <f>H605+H612+H614</f>
        <v>27.009999999999998</v>
      </c>
      <c r="I604" s="102"/>
    </row>
    <row r="605" spans="1:54" ht="58.5" hidden="1" customHeight="1" x14ac:dyDescent="0.3">
      <c r="A605" s="121" t="s">
        <v>0</v>
      </c>
      <c r="B605" s="122">
        <v>936</v>
      </c>
      <c r="C605" s="91" t="s">
        <v>118</v>
      </c>
      <c r="D605" s="91" t="s">
        <v>243</v>
      </c>
      <c r="E605" s="123" t="s">
        <v>93</v>
      </c>
      <c r="F605" s="91" t="s">
        <v>51</v>
      </c>
      <c r="G605" s="74">
        <f t="shared" ref="G605:H607" si="26">G606</f>
        <v>0</v>
      </c>
      <c r="H605" s="74">
        <f t="shared" si="26"/>
        <v>0</v>
      </c>
      <c r="I605" s="102"/>
    </row>
    <row r="606" spans="1:54" ht="38.25" hidden="1" customHeight="1" x14ac:dyDescent="0.3">
      <c r="A606" s="125" t="s">
        <v>1</v>
      </c>
      <c r="B606" s="122">
        <v>936</v>
      </c>
      <c r="C606" s="91" t="s">
        <v>118</v>
      </c>
      <c r="D606" s="91" t="s">
        <v>243</v>
      </c>
      <c r="E606" s="123" t="s">
        <v>94</v>
      </c>
      <c r="F606" s="91" t="s">
        <v>51</v>
      </c>
      <c r="G606" s="74">
        <f t="shared" si="26"/>
        <v>0</v>
      </c>
      <c r="H606" s="74">
        <f t="shared" si="26"/>
        <v>0</v>
      </c>
      <c r="I606" s="102"/>
    </row>
    <row r="607" spans="1:54" hidden="1" x14ac:dyDescent="0.3">
      <c r="A607" s="124" t="s">
        <v>63</v>
      </c>
      <c r="B607" s="122">
        <v>936</v>
      </c>
      <c r="C607" s="91" t="s">
        <v>118</v>
      </c>
      <c r="D607" s="91" t="s">
        <v>243</v>
      </c>
      <c r="E607" s="91" t="s">
        <v>409</v>
      </c>
      <c r="F607" s="91" t="s">
        <v>51</v>
      </c>
      <c r="G607" s="74">
        <f t="shared" si="26"/>
        <v>0</v>
      </c>
      <c r="H607" s="74">
        <f t="shared" si="26"/>
        <v>0</v>
      </c>
      <c r="I607" s="102"/>
    </row>
    <row r="608" spans="1:54" ht="25.5" hidden="1" customHeight="1" x14ac:dyDescent="0.3">
      <c r="A608" s="124" t="s">
        <v>157</v>
      </c>
      <c r="B608" s="122">
        <v>936</v>
      </c>
      <c r="C608" s="91" t="s">
        <v>118</v>
      </c>
      <c r="D608" s="91" t="s">
        <v>243</v>
      </c>
      <c r="E608" s="91" t="s">
        <v>410</v>
      </c>
      <c r="F608" s="91" t="s">
        <v>51</v>
      </c>
      <c r="G608" s="74">
        <f>G610+G611</f>
        <v>0</v>
      </c>
      <c r="H608" s="74">
        <f>H610+H611</f>
        <v>0</v>
      </c>
      <c r="I608" s="102"/>
    </row>
    <row r="609" spans="1:56" ht="93.75" hidden="1" x14ac:dyDescent="0.3">
      <c r="A609" s="124" t="s">
        <v>57</v>
      </c>
      <c r="B609" s="122">
        <v>936</v>
      </c>
      <c r="C609" s="91" t="s">
        <v>118</v>
      </c>
      <c r="D609" s="91" t="s">
        <v>243</v>
      </c>
      <c r="E609" s="91" t="s">
        <v>410</v>
      </c>
      <c r="F609" s="91" t="s">
        <v>58</v>
      </c>
      <c r="G609" s="74">
        <v>0</v>
      </c>
      <c r="H609" s="74">
        <v>0</v>
      </c>
      <c r="I609" s="102"/>
    </row>
    <row r="610" spans="1:56" ht="93.75" hidden="1" x14ac:dyDescent="0.3">
      <c r="A610" s="124" t="s">
        <v>57</v>
      </c>
      <c r="B610" s="122">
        <v>936</v>
      </c>
      <c r="C610" s="91" t="s">
        <v>118</v>
      </c>
      <c r="D610" s="91" t="s">
        <v>243</v>
      </c>
      <c r="E610" s="91" t="s">
        <v>410</v>
      </c>
      <c r="F610" s="91" t="s">
        <v>58</v>
      </c>
      <c r="G610" s="74">
        <v>0</v>
      </c>
      <c r="H610" s="74">
        <v>0</v>
      </c>
      <c r="I610" s="102"/>
      <c r="K610" s="100">
        <v>90</v>
      </c>
      <c r="AI610" s="100">
        <v>50</v>
      </c>
      <c r="AL610" s="102">
        <v>0</v>
      </c>
      <c r="AM610" s="102">
        <v>0</v>
      </c>
    </row>
    <row r="611" spans="1:56" ht="37.5" x14ac:dyDescent="0.3">
      <c r="A611" s="124" t="s">
        <v>433</v>
      </c>
      <c r="B611" s="122">
        <v>936</v>
      </c>
      <c r="C611" s="91" t="s">
        <v>118</v>
      </c>
      <c r="D611" s="91" t="s">
        <v>243</v>
      </c>
      <c r="E611" s="91" t="s">
        <v>410</v>
      </c>
      <c r="F611" s="91" t="s">
        <v>60</v>
      </c>
      <c r="G611" s="74">
        <v>0</v>
      </c>
      <c r="H611" s="74">
        <v>0</v>
      </c>
      <c r="I611" s="102"/>
      <c r="K611" s="100">
        <v>-40</v>
      </c>
      <c r="AI611" s="100">
        <v>0</v>
      </c>
    </row>
    <row r="612" spans="1:56" x14ac:dyDescent="0.3">
      <c r="A612" s="124" t="s">
        <v>766</v>
      </c>
      <c r="B612" s="9">
        <v>936</v>
      </c>
      <c r="C612" s="10" t="s">
        <v>118</v>
      </c>
      <c r="D612" s="10" t="s">
        <v>243</v>
      </c>
      <c r="E612" s="10" t="s">
        <v>840</v>
      </c>
      <c r="F612" s="10" t="s">
        <v>51</v>
      </c>
      <c r="G612" s="74">
        <f>G613</f>
        <v>26.61</v>
      </c>
      <c r="H612" s="74">
        <f>H613</f>
        <v>26.61</v>
      </c>
      <c r="I612" s="102"/>
    </row>
    <row r="613" spans="1:56" ht="93.75" x14ac:dyDescent="0.3">
      <c r="A613" s="124" t="s">
        <v>57</v>
      </c>
      <c r="B613" s="9">
        <v>936</v>
      </c>
      <c r="C613" s="10" t="s">
        <v>118</v>
      </c>
      <c r="D613" s="10" t="s">
        <v>243</v>
      </c>
      <c r="E613" s="10" t="s">
        <v>840</v>
      </c>
      <c r="F613" s="10" t="s">
        <v>58</v>
      </c>
      <c r="G613" s="74">
        <v>26.61</v>
      </c>
      <c r="H613" s="74">
        <v>26.61</v>
      </c>
      <c r="I613" s="102"/>
      <c r="BC613" s="236">
        <v>41.6</v>
      </c>
      <c r="BD613" s="237">
        <v>41.6</v>
      </c>
    </row>
    <row r="614" spans="1:56" x14ac:dyDescent="0.3">
      <c r="A614" s="124" t="s">
        <v>766</v>
      </c>
      <c r="B614" s="9">
        <v>936</v>
      </c>
      <c r="C614" s="10" t="s">
        <v>118</v>
      </c>
      <c r="D614" s="10" t="s">
        <v>243</v>
      </c>
      <c r="E614" s="10" t="s">
        <v>841</v>
      </c>
      <c r="F614" s="10" t="s">
        <v>51</v>
      </c>
      <c r="G614" s="74">
        <f>G615</f>
        <v>0.4</v>
      </c>
      <c r="H614" s="74">
        <f>H615</f>
        <v>0.4</v>
      </c>
      <c r="I614" s="102"/>
    </row>
    <row r="615" spans="1:56" ht="93.75" x14ac:dyDescent="0.3">
      <c r="A615" s="124" t="s">
        <v>57</v>
      </c>
      <c r="B615" s="9">
        <v>936</v>
      </c>
      <c r="C615" s="10" t="s">
        <v>118</v>
      </c>
      <c r="D615" s="10" t="s">
        <v>243</v>
      </c>
      <c r="E615" s="10" t="s">
        <v>841</v>
      </c>
      <c r="F615" s="10" t="s">
        <v>58</v>
      </c>
      <c r="G615" s="74">
        <v>0.4</v>
      </c>
      <c r="H615" s="74">
        <v>0.4</v>
      </c>
      <c r="I615" s="102"/>
      <c r="BC615" s="236">
        <v>0.5</v>
      </c>
      <c r="BD615" s="237">
        <v>0.5</v>
      </c>
    </row>
    <row r="616" spans="1:56" x14ac:dyDescent="0.3">
      <c r="A616" s="119" t="s">
        <v>246</v>
      </c>
      <c r="B616" s="118">
        <v>936</v>
      </c>
      <c r="C616" s="120" t="s">
        <v>122</v>
      </c>
      <c r="D616" s="120" t="s">
        <v>113</v>
      </c>
      <c r="E616" s="118" t="s">
        <v>50</v>
      </c>
      <c r="F616" s="114" t="s">
        <v>51</v>
      </c>
      <c r="G616" s="93">
        <f>G617+G642+G752+G626</f>
        <v>72349.2</v>
      </c>
      <c r="H616" s="93">
        <f>H617+H642+H752+H626</f>
        <v>72082</v>
      </c>
      <c r="I616" s="102"/>
    </row>
    <row r="617" spans="1:56" hidden="1" x14ac:dyDescent="0.3">
      <c r="A617" s="169" t="s">
        <v>247</v>
      </c>
      <c r="B617" s="118">
        <v>936</v>
      </c>
      <c r="C617" s="120" t="s">
        <v>122</v>
      </c>
      <c r="D617" s="120" t="s">
        <v>211</v>
      </c>
      <c r="E617" s="118" t="s">
        <v>50</v>
      </c>
      <c r="F617" s="114" t="s">
        <v>51</v>
      </c>
      <c r="G617" s="93">
        <f>G618</f>
        <v>0</v>
      </c>
      <c r="H617" s="93">
        <f>H618</f>
        <v>0</v>
      </c>
      <c r="I617" s="102"/>
    </row>
    <row r="618" spans="1:56" ht="45" hidden="1" customHeight="1" x14ac:dyDescent="0.3">
      <c r="A618" s="121" t="s">
        <v>162</v>
      </c>
      <c r="B618" s="122">
        <v>936</v>
      </c>
      <c r="C618" s="105" t="s">
        <v>122</v>
      </c>
      <c r="D618" s="105" t="s">
        <v>211</v>
      </c>
      <c r="E618" s="123" t="s">
        <v>100</v>
      </c>
      <c r="F618" s="91" t="s">
        <v>51</v>
      </c>
      <c r="G618" s="74">
        <f>G619</f>
        <v>0</v>
      </c>
      <c r="H618" s="74">
        <f>H619</f>
        <v>0</v>
      </c>
      <c r="I618" s="102"/>
    </row>
    <row r="619" spans="1:56" ht="37.5" hidden="1" x14ac:dyDescent="0.3">
      <c r="A619" s="125" t="s">
        <v>10</v>
      </c>
      <c r="B619" s="122">
        <v>936</v>
      </c>
      <c r="C619" s="105" t="s">
        <v>122</v>
      </c>
      <c r="D619" s="105" t="s">
        <v>211</v>
      </c>
      <c r="E619" s="123" t="s">
        <v>28</v>
      </c>
      <c r="F619" s="91" t="s">
        <v>51</v>
      </c>
      <c r="G619" s="74">
        <f>G623+G620</f>
        <v>0</v>
      </c>
      <c r="H619" s="74">
        <f>H623+H620</f>
        <v>0</v>
      </c>
      <c r="I619" s="102"/>
    </row>
    <row r="620" spans="1:56" hidden="1" x14ac:dyDescent="0.3">
      <c r="A620" s="124" t="s">
        <v>63</v>
      </c>
      <c r="B620" s="122">
        <v>936</v>
      </c>
      <c r="C620" s="105" t="s">
        <v>122</v>
      </c>
      <c r="D620" s="105" t="s">
        <v>211</v>
      </c>
      <c r="E620" s="123" t="s">
        <v>285</v>
      </c>
      <c r="F620" s="91" t="s">
        <v>51</v>
      </c>
      <c r="G620" s="74">
        <f>G621</f>
        <v>0</v>
      </c>
      <c r="H620" s="74">
        <f>H621</f>
        <v>0</v>
      </c>
      <c r="I620" s="102"/>
    </row>
    <row r="621" spans="1:56" hidden="1" x14ac:dyDescent="0.3">
      <c r="A621" s="124" t="s">
        <v>292</v>
      </c>
      <c r="B621" s="122">
        <v>936</v>
      </c>
      <c r="C621" s="105" t="s">
        <v>122</v>
      </c>
      <c r="D621" s="105" t="s">
        <v>211</v>
      </c>
      <c r="E621" s="123" t="s">
        <v>295</v>
      </c>
      <c r="F621" s="91" t="s">
        <v>51</v>
      </c>
      <c r="G621" s="74">
        <f>G622</f>
        <v>0</v>
      </c>
      <c r="H621" s="74">
        <f>H622</f>
        <v>0</v>
      </c>
      <c r="I621" s="102"/>
    </row>
    <row r="622" spans="1:56" hidden="1" x14ac:dyDescent="0.3">
      <c r="A622" s="124" t="s">
        <v>61</v>
      </c>
      <c r="B622" s="122">
        <v>936</v>
      </c>
      <c r="C622" s="105" t="s">
        <v>122</v>
      </c>
      <c r="D622" s="105" t="s">
        <v>211</v>
      </c>
      <c r="E622" s="123" t="s">
        <v>295</v>
      </c>
      <c r="F622" s="91" t="s">
        <v>62</v>
      </c>
      <c r="G622" s="74">
        <v>0</v>
      </c>
      <c r="H622" s="74">
        <v>0</v>
      </c>
      <c r="I622" s="102"/>
    </row>
    <row r="623" spans="1:56" ht="75" hidden="1" x14ac:dyDescent="0.3">
      <c r="A623" s="124" t="s">
        <v>174</v>
      </c>
      <c r="B623" s="122">
        <v>936</v>
      </c>
      <c r="C623" s="91" t="s">
        <v>122</v>
      </c>
      <c r="D623" s="91" t="s">
        <v>211</v>
      </c>
      <c r="E623" s="91" t="s">
        <v>248</v>
      </c>
      <c r="F623" s="91" t="s">
        <v>51</v>
      </c>
      <c r="G623" s="74">
        <f>G624</f>
        <v>0</v>
      </c>
      <c r="H623" s="74">
        <f>H624</f>
        <v>0</v>
      </c>
      <c r="I623" s="102"/>
    </row>
    <row r="624" spans="1:56" ht="139.5" hidden="1" customHeight="1" x14ac:dyDescent="0.3">
      <c r="A624" s="124" t="s">
        <v>542</v>
      </c>
      <c r="B624" s="122">
        <v>936</v>
      </c>
      <c r="C624" s="91" t="s">
        <v>122</v>
      </c>
      <c r="D624" s="91" t="s">
        <v>211</v>
      </c>
      <c r="E624" s="91" t="s">
        <v>249</v>
      </c>
      <c r="F624" s="91" t="s">
        <v>51</v>
      </c>
      <c r="G624" s="74">
        <f>G625</f>
        <v>0</v>
      </c>
      <c r="H624" s="74">
        <f>H625</f>
        <v>0</v>
      </c>
      <c r="I624" s="102"/>
    </row>
    <row r="625" spans="1:46" ht="37.5" hidden="1" x14ac:dyDescent="0.3">
      <c r="A625" s="124" t="s">
        <v>433</v>
      </c>
      <c r="B625" s="122">
        <v>936</v>
      </c>
      <c r="C625" s="91" t="s">
        <v>122</v>
      </c>
      <c r="D625" s="91" t="s">
        <v>211</v>
      </c>
      <c r="E625" s="91" t="s">
        <v>249</v>
      </c>
      <c r="F625" s="91" t="s">
        <v>60</v>
      </c>
      <c r="G625" s="74">
        <v>0</v>
      </c>
      <c r="H625" s="74">
        <v>0</v>
      </c>
      <c r="I625" s="102"/>
      <c r="AI625" s="100">
        <v>369.2</v>
      </c>
      <c r="AL625" s="102">
        <v>369.2</v>
      </c>
      <c r="AM625" s="102">
        <v>369.2</v>
      </c>
    </row>
    <row r="626" spans="1:46" x14ac:dyDescent="0.3">
      <c r="A626" s="170" t="s">
        <v>345</v>
      </c>
      <c r="B626" s="148">
        <v>936</v>
      </c>
      <c r="C626" s="149" t="s">
        <v>122</v>
      </c>
      <c r="D626" s="149" t="s">
        <v>131</v>
      </c>
      <c r="E626" s="148" t="s">
        <v>50</v>
      </c>
      <c r="F626" s="149" t="s">
        <v>51</v>
      </c>
      <c r="G626" s="93">
        <f>G633</f>
        <v>100.2</v>
      </c>
      <c r="H626" s="93">
        <f>H633</f>
        <v>100</v>
      </c>
      <c r="I626" s="102"/>
    </row>
    <row r="627" spans="1:46" ht="46.5" hidden="1" customHeight="1" x14ac:dyDescent="0.3">
      <c r="A627" s="121" t="s">
        <v>162</v>
      </c>
      <c r="B627" s="122">
        <v>936</v>
      </c>
      <c r="C627" s="105" t="s">
        <v>122</v>
      </c>
      <c r="D627" s="105" t="s">
        <v>131</v>
      </c>
      <c r="E627" s="123" t="s">
        <v>100</v>
      </c>
      <c r="F627" s="91" t="s">
        <v>51</v>
      </c>
      <c r="G627" s="74">
        <f>G628</f>
        <v>0</v>
      </c>
      <c r="H627" s="74">
        <f>H628</f>
        <v>0</v>
      </c>
      <c r="I627" s="102"/>
    </row>
    <row r="628" spans="1:46" hidden="1" x14ac:dyDescent="0.3">
      <c r="A628" s="130" t="s">
        <v>417</v>
      </c>
      <c r="B628" s="122">
        <v>936</v>
      </c>
      <c r="C628" s="91" t="s">
        <v>122</v>
      </c>
      <c r="D628" s="105" t="s">
        <v>131</v>
      </c>
      <c r="E628" s="91" t="s">
        <v>429</v>
      </c>
      <c r="F628" s="91" t="s">
        <v>51</v>
      </c>
      <c r="G628" s="74">
        <f>G629+G631</f>
        <v>0</v>
      </c>
      <c r="H628" s="74">
        <f>H629+H631</f>
        <v>0</v>
      </c>
      <c r="I628" s="102"/>
    </row>
    <row r="629" spans="1:46" ht="80.25" hidden="1" customHeight="1" x14ac:dyDescent="0.3">
      <c r="A629" s="130" t="s">
        <v>487</v>
      </c>
      <c r="B629" s="122">
        <v>936</v>
      </c>
      <c r="C629" s="91" t="s">
        <v>122</v>
      </c>
      <c r="D629" s="105" t="s">
        <v>131</v>
      </c>
      <c r="E629" s="91" t="s">
        <v>488</v>
      </c>
      <c r="F629" s="91" t="s">
        <v>51</v>
      </c>
      <c r="G629" s="74">
        <f>G630</f>
        <v>0</v>
      </c>
      <c r="H629" s="74">
        <f>H630</f>
        <v>0</v>
      </c>
      <c r="I629" s="102"/>
    </row>
    <row r="630" spans="1:46" hidden="1" x14ac:dyDescent="0.3">
      <c r="A630" s="124" t="s">
        <v>61</v>
      </c>
      <c r="B630" s="122">
        <v>936</v>
      </c>
      <c r="C630" s="91" t="s">
        <v>122</v>
      </c>
      <c r="D630" s="105" t="s">
        <v>131</v>
      </c>
      <c r="E630" s="91" t="s">
        <v>488</v>
      </c>
      <c r="F630" s="128" t="s">
        <v>62</v>
      </c>
      <c r="G630" s="74">
        <v>0</v>
      </c>
      <c r="H630" s="74">
        <v>0</v>
      </c>
      <c r="I630" s="102"/>
    </row>
    <row r="631" spans="1:46" ht="93.75" hidden="1" x14ac:dyDescent="0.3">
      <c r="A631" s="124" t="s">
        <v>489</v>
      </c>
      <c r="B631" s="122">
        <v>936</v>
      </c>
      <c r="C631" s="91" t="s">
        <v>122</v>
      </c>
      <c r="D631" s="105" t="s">
        <v>131</v>
      </c>
      <c r="E631" s="91" t="s">
        <v>490</v>
      </c>
      <c r="F631" s="91" t="s">
        <v>51</v>
      </c>
      <c r="G631" s="74">
        <f>G632</f>
        <v>0</v>
      </c>
      <c r="H631" s="74">
        <f>H632</f>
        <v>0</v>
      </c>
      <c r="I631" s="102"/>
    </row>
    <row r="632" spans="1:46" hidden="1" x14ac:dyDescent="0.3">
      <c r="A632" s="124" t="s">
        <v>61</v>
      </c>
      <c r="B632" s="122">
        <v>936</v>
      </c>
      <c r="C632" s="91" t="s">
        <v>122</v>
      </c>
      <c r="D632" s="105" t="s">
        <v>131</v>
      </c>
      <c r="E632" s="91" t="s">
        <v>490</v>
      </c>
      <c r="F632" s="128" t="s">
        <v>62</v>
      </c>
      <c r="G632" s="74">
        <v>0</v>
      </c>
      <c r="H632" s="74">
        <v>0</v>
      </c>
      <c r="I632" s="102"/>
    </row>
    <row r="633" spans="1:46" ht="56.25" x14ac:dyDescent="0.3">
      <c r="A633" s="121" t="s">
        <v>162</v>
      </c>
      <c r="B633" s="122">
        <v>936</v>
      </c>
      <c r="C633" s="91" t="s">
        <v>122</v>
      </c>
      <c r="D633" s="91" t="s">
        <v>131</v>
      </c>
      <c r="E633" s="123" t="s">
        <v>100</v>
      </c>
      <c r="F633" s="91" t="s">
        <v>51</v>
      </c>
      <c r="G633" s="74">
        <f t="shared" ref="G633:H635" si="27">G634</f>
        <v>100.2</v>
      </c>
      <c r="H633" s="74">
        <f t="shared" si="27"/>
        <v>100</v>
      </c>
      <c r="I633" s="102"/>
    </row>
    <row r="634" spans="1:46" x14ac:dyDescent="0.3">
      <c r="A634" s="124" t="s">
        <v>417</v>
      </c>
      <c r="B634" s="122">
        <v>936</v>
      </c>
      <c r="C634" s="91" t="s">
        <v>122</v>
      </c>
      <c r="D634" s="91" t="s">
        <v>131</v>
      </c>
      <c r="E634" s="123" t="s">
        <v>429</v>
      </c>
      <c r="F634" s="91" t="s">
        <v>51</v>
      </c>
      <c r="G634" s="74">
        <f t="shared" si="27"/>
        <v>100.2</v>
      </c>
      <c r="H634" s="74">
        <f t="shared" si="27"/>
        <v>100</v>
      </c>
      <c r="I634" s="102"/>
    </row>
    <row r="635" spans="1:46" ht="44.25" customHeight="1" x14ac:dyDescent="0.3">
      <c r="A635" s="139" t="s">
        <v>397</v>
      </c>
      <c r="B635" s="122">
        <v>936</v>
      </c>
      <c r="C635" s="91" t="s">
        <v>122</v>
      </c>
      <c r="D635" s="91" t="s">
        <v>131</v>
      </c>
      <c r="E635" s="91" t="s">
        <v>625</v>
      </c>
      <c r="F635" s="91" t="s">
        <v>51</v>
      </c>
      <c r="G635" s="74">
        <f t="shared" si="27"/>
        <v>100.2</v>
      </c>
      <c r="H635" s="74">
        <f t="shared" si="27"/>
        <v>100</v>
      </c>
      <c r="I635" s="102"/>
    </row>
    <row r="636" spans="1:46" ht="37.5" x14ac:dyDescent="0.3">
      <c r="A636" s="124" t="s">
        <v>433</v>
      </c>
      <c r="B636" s="122">
        <v>936</v>
      </c>
      <c r="C636" s="91" t="s">
        <v>122</v>
      </c>
      <c r="D636" s="91" t="s">
        <v>131</v>
      </c>
      <c r="E636" s="91" t="s">
        <v>625</v>
      </c>
      <c r="F636" s="91" t="s">
        <v>60</v>
      </c>
      <c r="G636" s="74">
        <f>0.2+100</f>
        <v>100.2</v>
      </c>
      <c r="H636" s="74">
        <v>100</v>
      </c>
      <c r="I636" s="102"/>
      <c r="K636" s="100">
        <v>100</v>
      </c>
      <c r="AI636" s="100">
        <v>100</v>
      </c>
      <c r="AL636" s="102">
        <v>0</v>
      </c>
      <c r="AM636" s="102">
        <v>0</v>
      </c>
      <c r="AR636" s="101">
        <v>100</v>
      </c>
      <c r="AT636" s="101">
        <v>100</v>
      </c>
    </row>
    <row r="637" spans="1:46" ht="56.25" hidden="1" x14ac:dyDescent="0.3">
      <c r="A637" s="131" t="s">
        <v>16</v>
      </c>
      <c r="B637" s="122">
        <v>936</v>
      </c>
      <c r="C637" s="91" t="s">
        <v>122</v>
      </c>
      <c r="D637" s="105" t="s">
        <v>131</v>
      </c>
      <c r="E637" s="123" t="s">
        <v>32</v>
      </c>
      <c r="F637" s="123" t="s">
        <v>51</v>
      </c>
      <c r="G637" s="74">
        <f t="shared" ref="G637:H640" si="28">G638</f>
        <v>0</v>
      </c>
      <c r="H637" s="74">
        <f t="shared" si="28"/>
        <v>0</v>
      </c>
      <c r="I637" s="102"/>
    </row>
    <row r="638" spans="1:46" hidden="1" x14ac:dyDescent="0.3">
      <c r="A638" s="130" t="s">
        <v>417</v>
      </c>
      <c r="B638" s="122">
        <v>936</v>
      </c>
      <c r="C638" s="91" t="s">
        <v>122</v>
      </c>
      <c r="D638" s="105" t="s">
        <v>131</v>
      </c>
      <c r="E638" s="91" t="s">
        <v>45</v>
      </c>
      <c r="F638" s="91" t="s">
        <v>51</v>
      </c>
      <c r="G638" s="74">
        <f t="shared" si="28"/>
        <v>0</v>
      </c>
      <c r="H638" s="74">
        <f t="shared" si="28"/>
        <v>0</v>
      </c>
      <c r="I638" s="102"/>
    </row>
    <row r="639" spans="1:46" hidden="1" x14ac:dyDescent="0.3">
      <c r="A639" s="124" t="s">
        <v>63</v>
      </c>
      <c r="B639" s="122">
        <v>936</v>
      </c>
      <c r="C639" s="91" t="s">
        <v>122</v>
      </c>
      <c r="D639" s="105" t="s">
        <v>131</v>
      </c>
      <c r="E639" s="91" t="s">
        <v>396</v>
      </c>
      <c r="F639" s="91" t="s">
        <v>51</v>
      </c>
      <c r="G639" s="74">
        <f t="shared" si="28"/>
        <v>0</v>
      </c>
      <c r="H639" s="74">
        <f t="shared" si="28"/>
        <v>0</v>
      </c>
      <c r="I639" s="102"/>
    </row>
    <row r="640" spans="1:46" ht="37.5" hidden="1" x14ac:dyDescent="0.3">
      <c r="A640" s="139" t="s">
        <v>397</v>
      </c>
      <c r="B640" s="122">
        <v>936</v>
      </c>
      <c r="C640" s="91" t="s">
        <v>122</v>
      </c>
      <c r="D640" s="105" t="s">
        <v>131</v>
      </c>
      <c r="E640" s="91" t="s">
        <v>398</v>
      </c>
      <c r="F640" s="91" t="s">
        <v>51</v>
      </c>
      <c r="G640" s="74">
        <f t="shared" si="28"/>
        <v>0</v>
      </c>
      <c r="H640" s="74">
        <f t="shared" si="28"/>
        <v>0</v>
      </c>
      <c r="I640" s="102"/>
    </row>
    <row r="641" spans="1:56" ht="37.5" hidden="1" x14ac:dyDescent="0.3">
      <c r="A641" s="124" t="s">
        <v>433</v>
      </c>
      <c r="B641" s="122">
        <v>936</v>
      </c>
      <c r="C641" s="91" t="s">
        <v>122</v>
      </c>
      <c r="D641" s="105" t="s">
        <v>131</v>
      </c>
      <c r="E641" s="91" t="s">
        <v>398</v>
      </c>
      <c r="F641" s="91" t="s">
        <v>60</v>
      </c>
      <c r="G641" s="74">
        <v>0</v>
      </c>
      <c r="H641" s="74">
        <v>0</v>
      </c>
      <c r="I641" s="102"/>
      <c r="K641" s="100">
        <v>-100</v>
      </c>
    </row>
    <row r="642" spans="1:56" x14ac:dyDescent="0.3">
      <c r="A642" s="119" t="s">
        <v>250</v>
      </c>
      <c r="B642" s="118">
        <v>936</v>
      </c>
      <c r="C642" s="114" t="s">
        <v>122</v>
      </c>
      <c r="D642" s="114" t="s">
        <v>129</v>
      </c>
      <c r="E642" s="118" t="s">
        <v>50</v>
      </c>
      <c r="F642" s="120" t="s">
        <v>51</v>
      </c>
      <c r="G642" s="93">
        <f>G643+G692+G747</f>
        <v>72009</v>
      </c>
      <c r="H642" s="93">
        <f>H643+H692+H747</f>
        <v>71982</v>
      </c>
      <c r="I642" s="102"/>
    </row>
    <row r="643" spans="1:56" ht="39.75" customHeight="1" x14ac:dyDescent="0.3">
      <c r="A643" s="121" t="s">
        <v>162</v>
      </c>
      <c r="B643" s="122">
        <v>936</v>
      </c>
      <c r="C643" s="91" t="s">
        <v>122</v>
      </c>
      <c r="D643" s="91" t="s">
        <v>129</v>
      </c>
      <c r="E643" s="123" t="s">
        <v>100</v>
      </c>
      <c r="F643" s="91" t="s">
        <v>51</v>
      </c>
      <c r="G643" s="74">
        <f>G644+G686+G677+G702</f>
        <v>72009</v>
      </c>
      <c r="H643" s="74">
        <f>H644+H686+H677+H702</f>
        <v>71982</v>
      </c>
      <c r="I643" s="102"/>
    </row>
    <row r="644" spans="1:56" ht="42" customHeight="1" x14ac:dyDescent="0.3">
      <c r="A644" s="121" t="s">
        <v>8</v>
      </c>
      <c r="B644" s="122">
        <v>936</v>
      </c>
      <c r="C644" s="91" t="s">
        <v>122</v>
      </c>
      <c r="D644" s="91" t="s">
        <v>129</v>
      </c>
      <c r="E644" s="123" t="s">
        <v>101</v>
      </c>
      <c r="F644" s="91" t="s">
        <v>51</v>
      </c>
      <c r="G644" s="74">
        <f>G645+G650+G667+G653+G670+G665+G655+G657+G659</f>
        <v>72009</v>
      </c>
      <c r="H644" s="74">
        <f>H645+H650+H667+H653+H670+H665</f>
        <v>71982</v>
      </c>
      <c r="I644" s="102"/>
    </row>
    <row r="645" spans="1:56" x14ac:dyDescent="0.3">
      <c r="A645" s="124" t="s">
        <v>251</v>
      </c>
      <c r="B645" s="122">
        <v>936</v>
      </c>
      <c r="C645" s="91" t="s">
        <v>122</v>
      </c>
      <c r="D645" s="91" t="s">
        <v>129</v>
      </c>
      <c r="E645" s="10" t="s">
        <v>873</v>
      </c>
      <c r="F645" s="91" t="s">
        <v>51</v>
      </c>
      <c r="G645" s="74">
        <f>G646+G648</f>
        <v>17309</v>
      </c>
      <c r="H645" s="74">
        <f>H646</f>
        <v>17308</v>
      </c>
      <c r="I645" s="102"/>
    </row>
    <row r="646" spans="1:56" ht="37.5" x14ac:dyDescent="0.3">
      <c r="A646" s="124" t="s">
        <v>872</v>
      </c>
      <c r="B646" s="122">
        <v>936</v>
      </c>
      <c r="C646" s="91" t="s">
        <v>122</v>
      </c>
      <c r="D646" s="91" t="s">
        <v>129</v>
      </c>
      <c r="E646" s="10" t="s">
        <v>871</v>
      </c>
      <c r="F646" s="10" t="s">
        <v>51</v>
      </c>
      <c r="G646" s="74">
        <f>G647</f>
        <v>16889</v>
      </c>
      <c r="H646" s="74">
        <f>H647</f>
        <v>17308</v>
      </c>
      <c r="I646" s="102"/>
    </row>
    <row r="647" spans="1:56" ht="37.5" x14ac:dyDescent="0.3">
      <c r="A647" s="124" t="s">
        <v>433</v>
      </c>
      <c r="B647" s="122">
        <v>936</v>
      </c>
      <c r="C647" s="91" t="s">
        <v>122</v>
      </c>
      <c r="D647" s="91" t="s">
        <v>129</v>
      </c>
      <c r="E647" s="10" t="s">
        <v>871</v>
      </c>
      <c r="F647" s="10" t="s">
        <v>60</v>
      </c>
      <c r="G647" s="74">
        <f>17275+34-420</f>
        <v>16889</v>
      </c>
      <c r="H647" s="74">
        <f>17275+33</f>
        <v>17308</v>
      </c>
      <c r="I647" s="102"/>
      <c r="K647" s="100">
        <v>141</v>
      </c>
      <c r="R647" s="100">
        <f>70+150+10200</f>
        <v>10420</v>
      </c>
      <c r="S647" s="100">
        <v>32.700000000000003</v>
      </c>
      <c r="AA647" s="100">
        <v>700</v>
      </c>
      <c r="AI647" s="100">
        <v>14920</v>
      </c>
      <c r="AL647" s="102">
        <v>10000</v>
      </c>
      <c r="AM647" s="102">
        <v>10000</v>
      </c>
      <c r="AR647" s="101">
        <v>10500</v>
      </c>
      <c r="AT647" s="101">
        <v>1780.9</v>
      </c>
      <c r="BA647" s="227">
        <v>5000</v>
      </c>
      <c r="BB647" s="223">
        <v>5000</v>
      </c>
    </row>
    <row r="648" spans="1:56" ht="37.5" x14ac:dyDescent="0.3">
      <c r="A648" s="124" t="s">
        <v>894</v>
      </c>
      <c r="B648" s="9">
        <v>936</v>
      </c>
      <c r="C648" s="10" t="s">
        <v>122</v>
      </c>
      <c r="D648" s="10" t="s">
        <v>129</v>
      </c>
      <c r="E648" s="10" t="s">
        <v>895</v>
      </c>
      <c r="F648" s="10" t="s">
        <v>51</v>
      </c>
      <c r="G648" s="74">
        <f>G649</f>
        <v>420</v>
      </c>
      <c r="H648" s="74">
        <f>H649</f>
        <v>0</v>
      </c>
      <c r="I648" s="102"/>
    </row>
    <row r="649" spans="1:56" ht="37.5" x14ac:dyDescent="0.3">
      <c r="A649" s="124" t="s">
        <v>433</v>
      </c>
      <c r="B649" s="9">
        <v>936</v>
      </c>
      <c r="C649" s="10" t="s">
        <v>122</v>
      </c>
      <c r="D649" s="10" t="s">
        <v>129</v>
      </c>
      <c r="E649" s="10" t="s">
        <v>895</v>
      </c>
      <c r="F649" s="10" t="s">
        <v>60</v>
      </c>
      <c r="G649" s="74">
        <v>420</v>
      </c>
      <c r="H649" s="74">
        <v>0</v>
      </c>
      <c r="I649" s="102"/>
    </row>
    <row r="650" spans="1:56" x14ac:dyDescent="0.3">
      <c r="A650" s="124" t="s">
        <v>251</v>
      </c>
      <c r="B650" s="122">
        <v>936</v>
      </c>
      <c r="C650" s="91" t="s">
        <v>122</v>
      </c>
      <c r="D650" s="91" t="s">
        <v>129</v>
      </c>
      <c r="E650" s="176" t="s">
        <v>874</v>
      </c>
      <c r="F650" s="91" t="s">
        <v>51</v>
      </c>
      <c r="G650" s="74">
        <f>G651+G663</f>
        <v>54151</v>
      </c>
      <c r="H650" s="74">
        <f>H651+H663</f>
        <v>54125</v>
      </c>
      <c r="I650" s="102"/>
    </row>
    <row r="651" spans="1:56" ht="56.25" x14ac:dyDescent="0.3">
      <c r="A651" s="124" t="s">
        <v>253</v>
      </c>
      <c r="B651" s="122">
        <v>936</v>
      </c>
      <c r="C651" s="91" t="s">
        <v>122</v>
      </c>
      <c r="D651" s="91" t="s">
        <v>129</v>
      </c>
      <c r="E651" s="176" t="s">
        <v>858</v>
      </c>
      <c r="F651" s="91" t="s">
        <v>51</v>
      </c>
      <c r="G651" s="74">
        <f>G652</f>
        <v>2274</v>
      </c>
      <c r="H651" s="74">
        <f>H652</f>
        <v>2248</v>
      </c>
      <c r="I651" s="102"/>
    </row>
    <row r="652" spans="1:56" ht="37.5" x14ac:dyDescent="0.3">
      <c r="A652" s="124" t="s">
        <v>433</v>
      </c>
      <c r="B652" s="122">
        <v>936</v>
      </c>
      <c r="C652" s="91" t="s">
        <v>122</v>
      </c>
      <c r="D652" s="91" t="s">
        <v>129</v>
      </c>
      <c r="E652" s="176" t="s">
        <v>858</v>
      </c>
      <c r="F652" s="91" t="s">
        <v>60</v>
      </c>
      <c r="G652" s="74">
        <f>2308-34</f>
        <v>2274</v>
      </c>
      <c r="H652" s="74">
        <f>2281-33</f>
        <v>2248</v>
      </c>
      <c r="I652" s="102"/>
      <c r="M652" s="100">
        <v>31.9</v>
      </c>
      <c r="AE652" s="100">
        <v>-1.6</v>
      </c>
      <c r="AI652" s="100">
        <v>1998</v>
      </c>
      <c r="AL652" s="102">
        <v>1916</v>
      </c>
      <c r="AM652" s="102">
        <v>1875</v>
      </c>
      <c r="AS652" s="101">
        <v>2177</v>
      </c>
      <c r="AU652" s="101">
        <v>2078</v>
      </c>
      <c r="BC652" s="236">
        <v>2106</v>
      </c>
      <c r="BD652" s="237">
        <v>2001</v>
      </c>
    </row>
    <row r="653" spans="1:56" ht="56.25" x14ac:dyDescent="0.3">
      <c r="A653" s="124" t="s">
        <v>253</v>
      </c>
      <c r="B653" s="122">
        <v>936</v>
      </c>
      <c r="C653" s="91" t="s">
        <v>122</v>
      </c>
      <c r="D653" s="91" t="s">
        <v>129</v>
      </c>
      <c r="E653" s="176" t="s">
        <v>859</v>
      </c>
      <c r="F653" s="91" t="s">
        <v>51</v>
      </c>
      <c r="G653" s="74">
        <f>G654</f>
        <v>24</v>
      </c>
      <c r="H653" s="74">
        <f>H654</f>
        <v>24</v>
      </c>
      <c r="I653" s="102"/>
    </row>
    <row r="654" spans="1:56" ht="37.5" x14ac:dyDescent="0.3">
      <c r="A654" s="124" t="s">
        <v>433</v>
      </c>
      <c r="B654" s="122">
        <v>936</v>
      </c>
      <c r="C654" s="91" t="s">
        <v>122</v>
      </c>
      <c r="D654" s="91" t="s">
        <v>129</v>
      </c>
      <c r="E654" s="176" t="s">
        <v>859</v>
      </c>
      <c r="F654" s="91" t="s">
        <v>60</v>
      </c>
      <c r="G654" s="74">
        <v>24</v>
      </c>
      <c r="H654" s="74">
        <v>24</v>
      </c>
      <c r="I654" s="102"/>
      <c r="AI654" s="100">
        <v>105</v>
      </c>
      <c r="AL654" s="102">
        <v>100.8</v>
      </c>
      <c r="AM654" s="102">
        <v>98.7</v>
      </c>
      <c r="AR654" s="101">
        <v>115</v>
      </c>
      <c r="AT654" s="101">
        <v>109</v>
      </c>
      <c r="AY654" s="100">
        <v>0.4</v>
      </c>
      <c r="BC654" s="236">
        <v>21</v>
      </c>
      <c r="BD654" s="237">
        <v>20</v>
      </c>
    </row>
    <row r="655" spans="1:56" ht="56.25" hidden="1" x14ac:dyDescent="0.3">
      <c r="A655" s="124" t="s">
        <v>845</v>
      </c>
      <c r="B655" s="9">
        <v>936</v>
      </c>
      <c r="C655" s="10" t="s">
        <v>122</v>
      </c>
      <c r="D655" s="10" t="s">
        <v>129</v>
      </c>
      <c r="E655" s="10" t="s">
        <v>846</v>
      </c>
      <c r="F655" s="10" t="s">
        <v>51</v>
      </c>
      <c r="G655" s="74">
        <f>G656</f>
        <v>0</v>
      </c>
      <c r="H655" s="74">
        <v>0</v>
      </c>
      <c r="I655" s="102"/>
    </row>
    <row r="656" spans="1:56" ht="37.5" hidden="1" x14ac:dyDescent="0.3">
      <c r="A656" s="124" t="s">
        <v>433</v>
      </c>
      <c r="B656" s="9">
        <v>936</v>
      </c>
      <c r="C656" s="10" t="s">
        <v>122</v>
      </c>
      <c r="D656" s="10" t="s">
        <v>129</v>
      </c>
      <c r="E656" s="10" t="s">
        <v>846</v>
      </c>
      <c r="F656" s="10" t="s">
        <v>60</v>
      </c>
      <c r="G656" s="74">
        <v>0</v>
      </c>
      <c r="H656" s="74">
        <v>0</v>
      </c>
      <c r="I656" s="102"/>
    </row>
    <row r="657" spans="1:56" ht="56.25" hidden="1" x14ac:dyDescent="0.3">
      <c r="A657" s="124" t="s">
        <v>845</v>
      </c>
      <c r="B657" s="9">
        <v>936</v>
      </c>
      <c r="C657" s="10" t="s">
        <v>122</v>
      </c>
      <c r="D657" s="10" t="s">
        <v>129</v>
      </c>
      <c r="E657" s="10" t="s">
        <v>847</v>
      </c>
      <c r="F657" s="10" t="s">
        <v>51</v>
      </c>
      <c r="G657" s="74">
        <f>G658</f>
        <v>0</v>
      </c>
      <c r="H657" s="74">
        <v>0</v>
      </c>
      <c r="I657" s="102"/>
    </row>
    <row r="658" spans="1:56" ht="37.5" hidden="1" x14ac:dyDescent="0.3">
      <c r="A658" s="124" t="s">
        <v>433</v>
      </c>
      <c r="B658" s="9">
        <v>936</v>
      </c>
      <c r="C658" s="10" t="s">
        <v>122</v>
      </c>
      <c r="D658" s="10" t="s">
        <v>129</v>
      </c>
      <c r="E658" s="10" t="s">
        <v>847</v>
      </c>
      <c r="F658" s="10" t="s">
        <v>60</v>
      </c>
      <c r="G658" s="74">
        <v>0</v>
      </c>
      <c r="H658" s="74">
        <v>0</v>
      </c>
      <c r="I658" s="102"/>
    </row>
    <row r="659" spans="1:56" ht="116.25" hidden="1" customHeight="1" x14ac:dyDescent="0.3">
      <c r="A659" s="124" t="s">
        <v>849</v>
      </c>
      <c r="B659" s="9">
        <v>936</v>
      </c>
      <c r="C659" s="10" t="s">
        <v>122</v>
      </c>
      <c r="D659" s="10" t="s">
        <v>129</v>
      </c>
      <c r="E659" s="10" t="s">
        <v>848</v>
      </c>
      <c r="F659" s="10" t="s">
        <v>51</v>
      </c>
      <c r="G659" s="74">
        <f>G660</f>
        <v>0</v>
      </c>
      <c r="H659" s="74">
        <f>H660</f>
        <v>0</v>
      </c>
      <c r="I659" s="102"/>
    </row>
    <row r="660" spans="1:56" ht="37.5" hidden="1" x14ac:dyDescent="0.3">
      <c r="A660" s="124" t="s">
        <v>433</v>
      </c>
      <c r="B660" s="9">
        <v>936</v>
      </c>
      <c r="C660" s="10" t="s">
        <v>122</v>
      </c>
      <c r="D660" s="10" t="s">
        <v>129</v>
      </c>
      <c r="E660" s="10" t="s">
        <v>848</v>
      </c>
      <c r="F660" s="10" t="s">
        <v>60</v>
      </c>
      <c r="G660" s="74">
        <v>0</v>
      </c>
      <c r="H660" s="74">
        <v>0</v>
      </c>
      <c r="I660" s="102"/>
    </row>
    <row r="661" spans="1:56" ht="37.5" x14ac:dyDescent="0.3">
      <c r="A661" s="135" t="s">
        <v>864</v>
      </c>
      <c r="B661" s="9">
        <v>936</v>
      </c>
      <c r="C661" s="10" t="s">
        <v>122</v>
      </c>
      <c r="D661" s="10" t="s">
        <v>129</v>
      </c>
      <c r="E661" s="176" t="s">
        <v>860</v>
      </c>
      <c r="F661" s="10" t="s">
        <v>51</v>
      </c>
      <c r="G661" s="74">
        <f>G662</f>
        <v>52402</v>
      </c>
      <c r="H661" s="74">
        <f>H662</f>
        <v>52402</v>
      </c>
      <c r="I661" s="102"/>
    </row>
    <row r="662" spans="1:56" ht="37.5" x14ac:dyDescent="0.3">
      <c r="A662" s="135" t="s">
        <v>801</v>
      </c>
      <c r="B662" s="9">
        <v>936</v>
      </c>
      <c r="C662" s="10" t="s">
        <v>122</v>
      </c>
      <c r="D662" s="10" t="s">
        <v>129</v>
      </c>
      <c r="E662" s="176" t="s">
        <v>861</v>
      </c>
      <c r="F662" s="10" t="s">
        <v>51</v>
      </c>
      <c r="G662" s="74">
        <f>G663+G665</f>
        <v>52402</v>
      </c>
      <c r="H662" s="74">
        <f>H663+H665</f>
        <v>52402</v>
      </c>
      <c r="I662" s="102"/>
    </row>
    <row r="663" spans="1:56" ht="75" x14ac:dyDescent="0.3">
      <c r="A663" s="135" t="s">
        <v>865</v>
      </c>
      <c r="B663" s="122">
        <v>936</v>
      </c>
      <c r="C663" s="91" t="s">
        <v>122</v>
      </c>
      <c r="D663" s="91" t="s">
        <v>129</v>
      </c>
      <c r="E663" s="176" t="s">
        <v>862</v>
      </c>
      <c r="F663" s="91" t="s">
        <v>51</v>
      </c>
      <c r="G663" s="74">
        <f>G664</f>
        <v>51877</v>
      </c>
      <c r="H663" s="74">
        <f>H664</f>
        <v>51877</v>
      </c>
      <c r="I663" s="102"/>
    </row>
    <row r="664" spans="1:56" ht="37.5" x14ac:dyDescent="0.3">
      <c r="A664" s="124" t="s">
        <v>433</v>
      </c>
      <c r="B664" s="122">
        <v>936</v>
      </c>
      <c r="C664" s="91" t="s">
        <v>122</v>
      </c>
      <c r="D664" s="91" t="s">
        <v>129</v>
      </c>
      <c r="E664" s="97" t="s">
        <v>862</v>
      </c>
      <c r="F664" s="91" t="s">
        <v>60</v>
      </c>
      <c r="G664" s="74">
        <v>51877</v>
      </c>
      <c r="H664" s="74">
        <v>51877</v>
      </c>
      <c r="I664" s="102"/>
      <c r="AR664" s="136"/>
      <c r="AS664" s="136">
        <v>92040</v>
      </c>
      <c r="AU664" s="101">
        <v>74964.7</v>
      </c>
      <c r="BC664" s="236">
        <v>74965</v>
      </c>
      <c r="BD664" s="237">
        <v>74965</v>
      </c>
    </row>
    <row r="665" spans="1:56" ht="45.75" customHeight="1" x14ac:dyDescent="0.3">
      <c r="A665" s="135" t="s">
        <v>865</v>
      </c>
      <c r="B665" s="122">
        <v>936</v>
      </c>
      <c r="C665" s="91" t="s">
        <v>122</v>
      </c>
      <c r="D665" s="91" t="s">
        <v>129</v>
      </c>
      <c r="E665" s="97" t="s">
        <v>863</v>
      </c>
      <c r="F665" s="91" t="s">
        <v>51</v>
      </c>
      <c r="G665" s="74">
        <f>G666</f>
        <v>525</v>
      </c>
      <c r="H665" s="74">
        <f>H666</f>
        <v>525</v>
      </c>
      <c r="I665" s="102"/>
      <c r="AR665" s="136"/>
      <c r="AS665" s="136"/>
    </row>
    <row r="666" spans="1:56" ht="37.5" x14ac:dyDescent="0.3">
      <c r="A666" s="124" t="s">
        <v>433</v>
      </c>
      <c r="B666" s="122">
        <v>936</v>
      </c>
      <c r="C666" s="91" t="s">
        <v>122</v>
      </c>
      <c r="D666" s="91" t="s">
        <v>129</v>
      </c>
      <c r="E666" s="97" t="s">
        <v>863</v>
      </c>
      <c r="F666" s="91" t="s">
        <v>60</v>
      </c>
      <c r="G666" s="74">
        <f>525</f>
        <v>525</v>
      </c>
      <c r="H666" s="74">
        <v>525</v>
      </c>
      <c r="I666" s="102"/>
      <c r="AR666" s="136">
        <v>929.7</v>
      </c>
      <c r="AS666" s="136"/>
      <c r="AT666" s="101">
        <v>757.5</v>
      </c>
      <c r="BC666" s="236">
        <v>757.2</v>
      </c>
      <c r="BD666" s="237">
        <v>757.2</v>
      </c>
    </row>
    <row r="667" spans="1:56" ht="37.5" hidden="1" x14ac:dyDescent="0.3">
      <c r="A667" s="124" t="s">
        <v>69</v>
      </c>
      <c r="B667" s="171">
        <v>936</v>
      </c>
      <c r="C667" s="91" t="s">
        <v>122</v>
      </c>
      <c r="D667" s="91" t="s">
        <v>129</v>
      </c>
      <c r="E667" s="91" t="s">
        <v>373</v>
      </c>
      <c r="F667" s="91" t="s">
        <v>51</v>
      </c>
      <c r="G667" s="74">
        <f>G668</f>
        <v>0</v>
      </c>
      <c r="H667" s="74">
        <f>H668</f>
        <v>0</v>
      </c>
      <c r="I667" s="102"/>
    </row>
    <row r="668" spans="1:56" ht="75" hidden="1" x14ac:dyDescent="0.3">
      <c r="A668" s="124" t="s">
        <v>372</v>
      </c>
      <c r="B668" s="171">
        <v>936</v>
      </c>
      <c r="C668" s="91" t="s">
        <v>122</v>
      </c>
      <c r="D668" s="91" t="s">
        <v>129</v>
      </c>
      <c r="E668" s="91" t="s">
        <v>374</v>
      </c>
      <c r="F668" s="91" t="s">
        <v>51</v>
      </c>
      <c r="G668" s="74">
        <f>G669</f>
        <v>0</v>
      </c>
      <c r="H668" s="74">
        <f>H669</f>
        <v>0</v>
      </c>
      <c r="I668" s="102"/>
    </row>
    <row r="669" spans="1:56" ht="37.5" hidden="1" x14ac:dyDescent="0.3">
      <c r="A669" s="124" t="s">
        <v>433</v>
      </c>
      <c r="B669" s="171">
        <v>936</v>
      </c>
      <c r="C669" s="91" t="s">
        <v>122</v>
      </c>
      <c r="D669" s="91" t="s">
        <v>129</v>
      </c>
      <c r="E669" s="91" t="s">
        <v>374</v>
      </c>
      <c r="F669" s="91" t="s">
        <v>60</v>
      </c>
      <c r="G669" s="74">
        <v>0</v>
      </c>
      <c r="H669" s="74">
        <v>0</v>
      </c>
      <c r="I669" s="102"/>
      <c r="AI669" s="100">
        <v>2120.4</v>
      </c>
      <c r="AL669" s="102">
        <v>2120.4</v>
      </c>
      <c r="AM669" s="102">
        <v>2120.4</v>
      </c>
    </row>
    <row r="670" spans="1:56" ht="44.25" hidden="1" customHeight="1" x14ac:dyDescent="0.3">
      <c r="A670" s="124" t="s">
        <v>470</v>
      </c>
      <c r="B670" s="171">
        <v>936</v>
      </c>
      <c r="C670" s="91" t="s">
        <v>122</v>
      </c>
      <c r="D670" s="91" t="s">
        <v>129</v>
      </c>
      <c r="E670" s="91" t="s">
        <v>471</v>
      </c>
      <c r="F670" s="91" t="s">
        <v>51</v>
      </c>
      <c r="G670" s="74">
        <f>G671+G674</f>
        <v>0</v>
      </c>
      <c r="H670" s="74">
        <f>H671+H674</f>
        <v>0</v>
      </c>
      <c r="I670" s="102"/>
    </row>
    <row r="671" spans="1:56" hidden="1" x14ac:dyDescent="0.3">
      <c r="A671" s="172" t="s">
        <v>467</v>
      </c>
      <c r="B671" s="171">
        <v>936</v>
      </c>
      <c r="C671" s="91" t="s">
        <v>122</v>
      </c>
      <c r="D671" s="91" t="s">
        <v>129</v>
      </c>
      <c r="E671" s="91" t="s">
        <v>370</v>
      </c>
      <c r="F671" s="91" t="s">
        <v>51</v>
      </c>
      <c r="G671" s="74">
        <f>G672+G700</f>
        <v>0</v>
      </c>
      <c r="H671" s="74">
        <f>H672+H700</f>
        <v>0</v>
      </c>
      <c r="I671" s="102"/>
    </row>
    <row r="672" spans="1:56" ht="37.5" hidden="1" x14ac:dyDescent="0.3">
      <c r="A672" s="172" t="s">
        <v>468</v>
      </c>
      <c r="B672" s="171">
        <v>936</v>
      </c>
      <c r="C672" s="91" t="s">
        <v>122</v>
      </c>
      <c r="D672" s="91" t="s">
        <v>129</v>
      </c>
      <c r="E672" s="91" t="s">
        <v>371</v>
      </c>
      <c r="F672" s="91" t="s">
        <v>51</v>
      </c>
      <c r="G672" s="74">
        <f>G673</f>
        <v>0</v>
      </c>
      <c r="H672" s="74">
        <f>H673</f>
        <v>0</v>
      </c>
      <c r="I672" s="102"/>
    </row>
    <row r="673" spans="1:39" ht="37.5" hidden="1" x14ac:dyDescent="0.3">
      <c r="A673" s="124" t="s">
        <v>433</v>
      </c>
      <c r="B673" s="171">
        <v>936</v>
      </c>
      <c r="C673" s="91" t="s">
        <v>122</v>
      </c>
      <c r="D673" s="91" t="s">
        <v>129</v>
      </c>
      <c r="E673" s="91" t="s">
        <v>371</v>
      </c>
      <c r="F673" s="91" t="s">
        <v>60</v>
      </c>
      <c r="G673" s="74">
        <v>0</v>
      </c>
      <c r="H673" s="74">
        <v>0</v>
      </c>
      <c r="I673" s="102"/>
      <c r="AI673" s="100">
        <v>92040</v>
      </c>
      <c r="AL673" s="102">
        <v>92040</v>
      </c>
      <c r="AM673" s="102">
        <v>92040</v>
      </c>
    </row>
    <row r="674" spans="1:39" ht="37.5" hidden="1" x14ac:dyDescent="0.3">
      <c r="A674" s="124" t="s">
        <v>469</v>
      </c>
      <c r="B674" s="171">
        <v>936</v>
      </c>
      <c r="C674" s="91" t="s">
        <v>122</v>
      </c>
      <c r="D674" s="91" t="s">
        <v>129</v>
      </c>
      <c r="E674" s="91" t="s">
        <v>472</v>
      </c>
      <c r="F674" s="91" t="s">
        <v>51</v>
      </c>
      <c r="G674" s="74">
        <f>G675</f>
        <v>0</v>
      </c>
      <c r="H674" s="74">
        <f>H675</f>
        <v>0</v>
      </c>
      <c r="I674" s="102"/>
    </row>
    <row r="675" spans="1:39" ht="75" hidden="1" x14ac:dyDescent="0.3">
      <c r="A675" s="124" t="s">
        <v>372</v>
      </c>
      <c r="B675" s="171">
        <v>936</v>
      </c>
      <c r="C675" s="91" t="s">
        <v>122</v>
      </c>
      <c r="D675" s="91" t="s">
        <v>129</v>
      </c>
      <c r="E675" s="91" t="s">
        <v>473</v>
      </c>
      <c r="F675" s="91" t="s">
        <v>51</v>
      </c>
      <c r="G675" s="74">
        <f>G676</f>
        <v>0</v>
      </c>
      <c r="H675" s="74">
        <f>H676</f>
        <v>0</v>
      </c>
      <c r="I675" s="102"/>
    </row>
    <row r="676" spans="1:39" ht="37.5" hidden="1" x14ac:dyDescent="0.3">
      <c r="A676" s="124" t="s">
        <v>59</v>
      </c>
      <c r="B676" s="171">
        <v>936</v>
      </c>
      <c r="C676" s="91" t="s">
        <v>122</v>
      </c>
      <c r="D676" s="91" t="s">
        <v>129</v>
      </c>
      <c r="E676" s="91" t="s">
        <v>473</v>
      </c>
      <c r="F676" s="91" t="s">
        <v>60</v>
      </c>
      <c r="G676" s="74">
        <v>0</v>
      </c>
      <c r="H676" s="74">
        <v>0</v>
      </c>
      <c r="I676" s="102"/>
    </row>
    <row r="677" spans="1:39" ht="56.25" hidden="1" x14ac:dyDescent="0.3">
      <c r="A677" s="124" t="s">
        <v>466</v>
      </c>
      <c r="B677" s="122">
        <v>936</v>
      </c>
      <c r="C677" s="91" t="s">
        <v>122</v>
      </c>
      <c r="D677" s="91" t="s">
        <v>129</v>
      </c>
      <c r="E677" s="123" t="s">
        <v>29</v>
      </c>
      <c r="F677" s="91" t="s">
        <v>51</v>
      </c>
      <c r="G677" s="74">
        <f>G678+G681+G684</f>
        <v>0</v>
      </c>
      <c r="H677" s="74">
        <f>H678+H681+H684</f>
        <v>0</v>
      </c>
      <c r="I677" s="102"/>
    </row>
    <row r="678" spans="1:39" hidden="1" x14ac:dyDescent="0.3">
      <c r="A678" s="124" t="s">
        <v>63</v>
      </c>
      <c r="B678" s="122">
        <v>936</v>
      </c>
      <c r="C678" s="91" t="s">
        <v>122</v>
      </c>
      <c r="D678" s="91" t="s">
        <v>129</v>
      </c>
      <c r="E678" s="91" t="s">
        <v>254</v>
      </c>
      <c r="F678" s="91" t="s">
        <v>51</v>
      </c>
      <c r="G678" s="74">
        <f>G679</f>
        <v>0</v>
      </c>
      <c r="H678" s="74">
        <f>H679</f>
        <v>0</v>
      </c>
      <c r="I678" s="102"/>
    </row>
    <row r="679" spans="1:39" ht="25.5" hidden="1" customHeight="1" x14ac:dyDescent="0.3">
      <c r="A679" s="124" t="s">
        <v>65</v>
      </c>
      <c r="B679" s="122">
        <v>936</v>
      </c>
      <c r="C679" s="91" t="s">
        <v>122</v>
      </c>
      <c r="D679" s="91" t="s">
        <v>129</v>
      </c>
      <c r="E679" s="91" t="s">
        <v>255</v>
      </c>
      <c r="F679" s="91" t="s">
        <v>51</v>
      </c>
      <c r="G679" s="74">
        <f>G680</f>
        <v>0</v>
      </c>
      <c r="H679" s="74">
        <f>H680</f>
        <v>0</v>
      </c>
      <c r="I679" s="102"/>
    </row>
    <row r="680" spans="1:39" ht="37.5" hidden="1" x14ac:dyDescent="0.3">
      <c r="A680" s="124" t="s">
        <v>59</v>
      </c>
      <c r="B680" s="122">
        <v>936</v>
      </c>
      <c r="C680" s="91" t="s">
        <v>122</v>
      </c>
      <c r="D680" s="91" t="s">
        <v>129</v>
      </c>
      <c r="E680" s="91" t="s">
        <v>255</v>
      </c>
      <c r="F680" s="91" t="s">
        <v>60</v>
      </c>
      <c r="G680" s="74">
        <v>0</v>
      </c>
      <c r="H680" s="74">
        <v>0</v>
      </c>
      <c r="I680" s="102"/>
    </row>
    <row r="681" spans="1:39" ht="75" hidden="1" x14ac:dyDescent="0.3">
      <c r="A681" s="124" t="s">
        <v>252</v>
      </c>
      <c r="B681" s="122">
        <v>936</v>
      </c>
      <c r="C681" s="91" t="s">
        <v>122</v>
      </c>
      <c r="D681" s="91" t="s">
        <v>129</v>
      </c>
      <c r="E681" s="91" t="s">
        <v>257</v>
      </c>
      <c r="F681" s="91" t="s">
        <v>51</v>
      </c>
      <c r="G681" s="74">
        <f>G682</f>
        <v>0</v>
      </c>
      <c r="H681" s="74">
        <f>H682</f>
        <v>0</v>
      </c>
      <c r="I681" s="102"/>
      <c r="AL681" s="100"/>
      <c r="AM681" s="100"/>
    </row>
    <row r="682" spans="1:39" ht="56.25" hidden="1" x14ac:dyDescent="0.3">
      <c r="A682" s="124" t="s">
        <v>256</v>
      </c>
      <c r="B682" s="122">
        <v>936</v>
      </c>
      <c r="C682" s="91" t="s">
        <v>122</v>
      </c>
      <c r="D682" s="91" t="s">
        <v>129</v>
      </c>
      <c r="E682" s="91" t="s">
        <v>258</v>
      </c>
      <c r="F682" s="91" t="s">
        <v>51</v>
      </c>
      <c r="G682" s="74">
        <f>G683</f>
        <v>0</v>
      </c>
      <c r="H682" s="74">
        <f>H683</f>
        <v>0</v>
      </c>
      <c r="I682" s="102"/>
      <c r="AL682" s="100"/>
      <c r="AM682" s="100"/>
    </row>
    <row r="683" spans="1:39" ht="37.5" hidden="1" x14ac:dyDescent="0.3">
      <c r="A683" s="124" t="s">
        <v>433</v>
      </c>
      <c r="B683" s="122">
        <v>936</v>
      </c>
      <c r="C683" s="91" t="s">
        <v>122</v>
      </c>
      <c r="D683" s="91" t="s">
        <v>129</v>
      </c>
      <c r="E683" s="91" t="s">
        <v>258</v>
      </c>
      <c r="F683" s="91" t="s">
        <v>60</v>
      </c>
      <c r="G683" s="74">
        <v>0</v>
      </c>
      <c r="H683" s="74">
        <v>0</v>
      </c>
      <c r="I683" s="102"/>
      <c r="AL683" s="100"/>
      <c r="AM683" s="100"/>
    </row>
    <row r="684" spans="1:39" ht="56.25" hidden="1" x14ac:dyDescent="0.3">
      <c r="A684" s="124" t="s">
        <v>256</v>
      </c>
      <c r="B684" s="122">
        <v>936</v>
      </c>
      <c r="C684" s="91" t="s">
        <v>122</v>
      </c>
      <c r="D684" s="91" t="s">
        <v>129</v>
      </c>
      <c r="E684" s="91" t="s">
        <v>259</v>
      </c>
      <c r="F684" s="91" t="s">
        <v>51</v>
      </c>
      <c r="G684" s="74">
        <f>G685</f>
        <v>0</v>
      </c>
      <c r="H684" s="74">
        <f>H685</f>
        <v>0</v>
      </c>
      <c r="I684" s="102"/>
      <c r="AL684" s="100"/>
      <c r="AM684" s="100"/>
    </row>
    <row r="685" spans="1:39" ht="37.5" hidden="1" x14ac:dyDescent="0.3">
      <c r="A685" s="124" t="s">
        <v>59</v>
      </c>
      <c r="B685" s="122">
        <v>936</v>
      </c>
      <c r="C685" s="91" t="s">
        <v>122</v>
      </c>
      <c r="D685" s="91" t="s">
        <v>129</v>
      </c>
      <c r="E685" s="91" t="s">
        <v>259</v>
      </c>
      <c r="F685" s="91" t="s">
        <v>60</v>
      </c>
      <c r="G685" s="74">
        <v>0</v>
      </c>
      <c r="H685" s="74">
        <v>0</v>
      </c>
      <c r="I685" s="102"/>
      <c r="AL685" s="100"/>
      <c r="AM685" s="100"/>
    </row>
    <row r="686" spans="1:39" ht="24" hidden="1" customHeight="1" x14ac:dyDescent="0.3">
      <c r="A686" s="124" t="s">
        <v>417</v>
      </c>
      <c r="B686" s="122">
        <v>936</v>
      </c>
      <c r="C686" s="91" t="s">
        <v>122</v>
      </c>
      <c r="D686" s="91" t="s">
        <v>129</v>
      </c>
      <c r="E686" s="123" t="s">
        <v>429</v>
      </c>
      <c r="F686" s="91" t="s">
        <v>51</v>
      </c>
      <c r="G686" s="74">
        <f>G687</f>
        <v>0</v>
      </c>
      <c r="H686" s="74">
        <f>H687</f>
        <v>0</v>
      </c>
      <c r="I686" s="102"/>
      <c r="AL686" s="100"/>
      <c r="AM686" s="100"/>
    </row>
    <row r="687" spans="1:39" hidden="1" x14ac:dyDescent="0.3">
      <c r="A687" s="124" t="s">
        <v>63</v>
      </c>
      <c r="B687" s="122">
        <v>936</v>
      </c>
      <c r="C687" s="91" t="s">
        <v>122</v>
      </c>
      <c r="D687" s="91" t="s">
        <v>129</v>
      </c>
      <c r="E687" s="91" t="s">
        <v>430</v>
      </c>
      <c r="F687" s="91" t="s">
        <v>51</v>
      </c>
      <c r="G687" s="74">
        <f>G690+G688</f>
        <v>0</v>
      </c>
      <c r="H687" s="74">
        <f>H690+H688</f>
        <v>0</v>
      </c>
      <c r="I687" s="102"/>
      <c r="AL687" s="100"/>
      <c r="AM687" s="100"/>
    </row>
    <row r="688" spans="1:39" ht="31.5" hidden="1" customHeight="1" x14ac:dyDescent="0.3">
      <c r="A688" s="130" t="s">
        <v>65</v>
      </c>
      <c r="B688" s="122">
        <v>936</v>
      </c>
      <c r="C688" s="91" t="s">
        <v>122</v>
      </c>
      <c r="D688" s="91" t="s">
        <v>129</v>
      </c>
      <c r="E688" s="91" t="s">
        <v>491</v>
      </c>
      <c r="F688" s="91" t="s">
        <v>51</v>
      </c>
      <c r="G688" s="74">
        <f>G689</f>
        <v>0</v>
      </c>
      <c r="H688" s="74">
        <f>H689</f>
        <v>0</v>
      </c>
      <c r="I688" s="102"/>
      <c r="AL688" s="100"/>
      <c r="AM688" s="100"/>
    </row>
    <row r="689" spans="1:39" ht="37.5" hidden="1" x14ac:dyDescent="0.3">
      <c r="A689" s="124" t="s">
        <v>59</v>
      </c>
      <c r="B689" s="122">
        <v>936</v>
      </c>
      <c r="C689" s="91" t="s">
        <v>122</v>
      </c>
      <c r="D689" s="91" t="s">
        <v>129</v>
      </c>
      <c r="E689" s="91" t="s">
        <v>491</v>
      </c>
      <c r="F689" s="91" t="s">
        <v>60</v>
      </c>
      <c r="G689" s="74">
        <v>0</v>
      </c>
      <c r="H689" s="74">
        <v>0</v>
      </c>
      <c r="I689" s="102"/>
      <c r="AL689" s="100"/>
      <c r="AM689" s="100"/>
    </row>
    <row r="690" spans="1:39" ht="56.25" hidden="1" x14ac:dyDescent="0.3">
      <c r="A690" s="124" t="s">
        <v>260</v>
      </c>
      <c r="B690" s="122">
        <v>936</v>
      </c>
      <c r="C690" s="91" t="s">
        <v>122</v>
      </c>
      <c r="D690" s="91" t="s">
        <v>129</v>
      </c>
      <c r="E690" s="91" t="s">
        <v>431</v>
      </c>
      <c r="F690" s="91" t="s">
        <v>51</v>
      </c>
      <c r="G690" s="74">
        <f>G691</f>
        <v>0</v>
      </c>
      <c r="H690" s="74">
        <f>H691</f>
        <v>0</v>
      </c>
      <c r="I690" s="102"/>
      <c r="AL690" s="100"/>
      <c r="AM690" s="100"/>
    </row>
    <row r="691" spans="1:39" ht="37.5" hidden="1" x14ac:dyDescent="0.3">
      <c r="A691" s="124" t="s">
        <v>433</v>
      </c>
      <c r="B691" s="122">
        <v>936</v>
      </c>
      <c r="C691" s="91" t="s">
        <v>122</v>
      </c>
      <c r="D691" s="91" t="s">
        <v>129</v>
      </c>
      <c r="E691" s="91" t="s">
        <v>431</v>
      </c>
      <c r="F691" s="91" t="s">
        <v>60</v>
      </c>
      <c r="G691" s="74">
        <v>0</v>
      </c>
      <c r="H691" s="74">
        <v>0</v>
      </c>
      <c r="I691" s="102"/>
      <c r="AL691" s="100"/>
      <c r="AM691" s="100"/>
    </row>
    <row r="692" spans="1:39" ht="45.75" hidden="1" customHeight="1" x14ac:dyDescent="0.3">
      <c r="A692" s="121" t="s">
        <v>465</v>
      </c>
      <c r="B692" s="122">
        <v>936</v>
      </c>
      <c r="C692" s="91" t="s">
        <v>122</v>
      </c>
      <c r="D692" s="91" t="s">
        <v>129</v>
      </c>
      <c r="E692" s="123" t="s">
        <v>103</v>
      </c>
      <c r="F692" s="91" t="s">
        <v>51</v>
      </c>
      <c r="G692" s="74">
        <f>G693+G696</f>
        <v>0</v>
      </c>
      <c r="H692" s="74">
        <f>H693+H696</f>
        <v>0</v>
      </c>
      <c r="I692" s="102"/>
      <c r="AL692" s="100"/>
      <c r="AM692" s="100"/>
    </row>
    <row r="693" spans="1:39" hidden="1" x14ac:dyDescent="0.3">
      <c r="A693" s="130" t="s">
        <v>63</v>
      </c>
      <c r="B693" s="122">
        <v>936</v>
      </c>
      <c r="C693" s="91" t="s">
        <v>122</v>
      </c>
      <c r="D693" s="91" t="s">
        <v>129</v>
      </c>
      <c r="E693" s="91" t="s">
        <v>474</v>
      </c>
      <c r="F693" s="91" t="s">
        <v>51</v>
      </c>
      <c r="G693" s="74">
        <f>G694</f>
        <v>0</v>
      </c>
      <c r="H693" s="74">
        <f>H694</f>
        <v>0</v>
      </c>
      <c r="I693" s="102"/>
      <c r="AL693" s="100"/>
      <c r="AM693" s="100"/>
    </row>
    <row r="694" spans="1:39" ht="25.5" hidden="1" customHeight="1" x14ac:dyDescent="0.3">
      <c r="A694" s="130" t="s">
        <v>65</v>
      </c>
      <c r="B694" s="122">
        <v>936</v>
      </c>
      <c r="C694" s="91" t="s">
        <v>122</v>
      </c>
      <c r="D694" s="91" t="s">
        <v>129</v>
      </c>
      <c r="E694" s="91" t="s">
        <v>462</v>
      </c>
      <c r="F694" s="91" t="s">
        <v>51</v>
      </c>
      <c r="G694" s="74">
        <f>G695</f>
        <v>0</v>
      </c>
      <c r="H694" s="74">
        <f>H695</f>
        <v>0</v>
      </c>
      <c r="I694" s="102"/>
      <c r="AL694" s="100"/>
      <c r="AM694" s="100"/>
    </row>
    <row r="695" spans="1:39" ht="38.25" hidden="1" customHeight="1" x14ac:dyDescent="0.3">
      <c r="A695" s="124" t="s">
        <v>433</v>
      </c>
      <c r="B695" s="122">
        <v>936</v>
      </c>
      <c r="C695" s="91" t="s">
        <v>122</v>
      </c>
      <c r="D695" s="91" t="s">
        <v>129</v>
      </c>
      <c r="E695" s="91" t="s">
        <v>462</v>
      </c>
      <c r="F695" s="91" t="s">
        <v>60</v>
      </c>
      <c r="G695" s="74"/>
      <c r="H695" s="74"/>
      <c r="I695" s="102"/>
      <c r="AL695" s="100"/>
      <c r="AM695" s="100"/>
    </row>
    <row r="696" spans="1:39" ht="37.5" hidden="1" x14ac:dyDescent="0.3">
      <c r="A696" s="172" t="s">
        <v>407</v>
      </c>
      <c r="B696" s="173">
        <v>936</v>
      </c>
      <c r="C696" s="91" t="s">
        <v>122</v>
      </c>
      <c r="D696" s="91" t="s">
        <v>129</v>
      </c>
      <c r="E696" s="128" t="s">
        <v>356</v>
      </c>
      <c r="F696" s="138" t="s">
        <v>51</v>
      </c>
      <c r="G696" s="74">
        <f t="shared" ref="G696:H698" si="29">G697</f>
        <v>0</v>
      </c>
      <c r="H696" s="74">
        <f t="shared" si="29"/>
        <v>0</v>
      </c>
      <c r="I696" s="102"/>
      <c r="AL696" s="100"/>
      <c r="AM696" s="100"/>
    </row>
    <row r="697" spans="1:39" ht="37.5" hidden="1" x14ac:dyDescent="0.3">
      <c r="A697" s="172" t="s">
        <v>408</v>
      </c>
      <c r="B697" s="173">
        <v>936</v>
      </c>
      <c r="C697" s="91" t="s">
        <v>122</v>
      </c>
      <c r="D697" s="91" t="s">
        <v>129</v>
      </c>
      <c r="E697" s="128" t="s">
        <v>357</v>
      </c>
      <c r="F697" s="138" t="s">
        <v>51</v>
      </c>
      <c r="G697" s="74">
        <f t="shared" si="29"/>
        <v>0</v>
      </c>
      <c r="H697" s="74">
        <f t="shared" si="29"/>
        <v>0</v>
      </c>
      <c r="I697" s="102"/>
      <c r="AL697" s="100"/>
      <c r="AM697" s="100"/>
    </row>
    <row r="698" spans="1:39" ht="37.5" hidden="1" x14ac:dyDescent="0.3">
      <c r="A698" s="130" t="s">
        <v>355</v>
      </c>
      <c r="B698" s="173">
        <v>936</v>
      </c>
      <c r="C698" s="91" t="s">
        <v>122</v>
      </c>
      <c r="D698" s="91" t="s">
        <v>129</v>
      </c>
      <c r="E698" s="128" t="s">
        <v>358</v>
      </c>
      <c r="F698" s="128" t="s">
        <v>51</v>
      </c>
      <c r="G698" s="74">
        <f t="shared" si="29"/>
        <v>0</v>
      </c>
      <c r="H698" s="74">
        <f t="shared" si="29"/>
        <v>0</v>
      </c>
      <c r="I698" s="102"/>
      <c r="AL698" s="100"/>
      <c r="AM698" s="100"/>
    </row>
    <row r="699" spans="1:39" ht="37.5" hidden="1" x14ac:dyDescent="0.3">
      <c r="A699" s="124" t="s">
        <v>433</v>
      </c>
      <c r="B699" s="173">
        <v>936</v>
      </c>
      <c r="C699" s="91" t="s">
        <v>122</v>
      </c>
      <c r="D699" s="91" t="s">
        <v>129</v>
      </c>
      <c r="E699" s="128" t="s">
        <v>358</v>
      </c>
      <c r="F699" s="128" t="s">
        <v>60</v>
      </c>
      <c r="G699" s="74"/>
      <c r="H699" s="74"/>
      <c r="I699" s="102"/>
      <c r="AL699" s="100"/>
      <c r="AM699" s="100"/>
    </row>
    <row r="700" spans="1:39" ht="65.25" hidden="1" customHeight="1" x14ac:dyDescent="0.3">
      <c r="A700" s="124" t="s">
        <v>679</v>
      </c>
      <c r="B700" s="171">
        <v>936</v>
      </c>
      <c r="C700" s="91" t="s">
        <v>122</v>
      </c>
      <c r="D700" s="91" t="s">
        <v>129</v>
      </c>
      <c r="E700" s="128" t="s">
        <v>678</v>
      </c>
      <c r="F700" s="128" t="s">
        <v>51</v>
      </c>
      <c r="G700" s="74">
        <f>G701</f>
        <v>0</v>
      </c>
      <c r="H700" s="74">
        <f>H701</f>
        <v>0</v>
      </c>
      <c r="I700" s="102"/>
      <c r="AL700" s="100"/>
      <c r="AM700" s="100"/>
    </row>
    <row r="701" spans="1:39" ht="37.5" hidden="1" x14ac:dyDescent="0.3">
      <c r="A701" s="124" t="s">
        <v>59</v>
      </c>
      <c r="B701" s="171">
        <v>936</v>
      </c>
      <c r="C701" s="91" t="s">
        <v>122</v>
      </c>
      <c r="D701" s="91" t="s">
        <v>129</v>
      </c>
      <c r="E701" s="128" t="s">
        <v>678</v>
      </c>
      <c r="F701" s="128" t="s">
        <v>60</v>
      </c>
      <c r="G701" s="74">
        <v>0</v>
      </c>
      <c r="H701" s="74">
        <v>0</v>
      </c>
      <c r="I701" s="102"/>
      <c r="U701" s="100">
        <v>30080</v>
      </c>
      <c r="AI701" s="100">
        <v>0</v>
      </c>
      <c r="AL701" s="100"/>
      <c r="AM701" s="100"/>
    </row>
    <row r="702" spans="1:39" ht="56.25" hidden="1" x14ac:dyDescent="0.3">
      <c r="A702" s="124" t="s">
        <v>466</v>
      </c>
      <c r="B702" s="122">
        <v>936</v>
      </c>
      <c r="C702" s="91" t="s">
        <v>122</v>
      </c>
      <c r="D702" s="91" t="s">
        <v>129</v>
      </c>
      <c r="E702" s="123" t="s">
        <v>29</v>
      </c>
      <c r="F702" s="91" t="s">
        <v>51</v>
      </c>
      <c r="G702" s="74">
        <f>G703+G718+G720+G722+G724+G726+G728+G730+G732</f>
        <v>0</v>
      </c>
      <c r="H702" s="74">
        <f>H703+H718+H720+H722+H724+H726+H728+H730+H732</f>
        <v>0</v>
      </c>
      <c r="I702" s="102"/>
      <c r="AL702" s="100"/>
      <c r="AM702" s="100"/>
    </row>
    <row r="703" spans="1:39" ht="75" hidden="1" x14ac:dyDescent="0.3">
      <c r="A703" s="124" t="s">
        <v>252</v>
      </c>
      <c r="B703" s="122">
        <v>936</v>
      </c>
      <c r="C703" s="91" t="s">
        <v>122</v>
      </c>
      <c r="D703" s="91" t="s">
        <v>129</v>
      </c>
      <c r="E703" s="91" t="s">
        <v>257</v>
      </c>
      <c r="F703" s="91" t="s">
        <v>51</v>
      </c>
      <c r="G703" s="74">
        <f>G704+G706+G708+G710+G712+G714+G716</f>
        <v>0</v>
      </c>
      <c r="H703" s="74">
        <f>H704+H706+H708+H710+H712+H714+H716</f>
        <v>0</v>
      </c>
      <c r="I703" s="102"/>
      <c r="AL703" s="100"/>
      <c r="AM703" s="100"/>
    </row>
    <row r="704" spans="1:39" ht="93.75" hidden="1" x14ac:dyDescent="0.3">
      <c r="A704" s="124" t="s">
        <v>575</v>
      </c>
      <c r="B704" s="173">
        <v>936</v>
      </c>
      <c r="C704" s="91" t="s">
        <v>122</v>
      </c>
      <c r="D704" s="91" t="s">
        <v>129</v>
      </c>
      <c r="E704" s="128" t="s">
        <v>653</v>
      </c>
      <c r="F704" s="91" t="s">
        <v>51</v>
      </c>
      <c r="G704" s="74">
        <f>G705</f>
        <v>0</v>
      </c>
      <c r="H704" s="74">
        <f>H705</f>
        <v>0</v>
      </c>
      <c r="I704" s="102"/>
      <c r="AL704" s="100"/>
      <c r="AM704" s="100"/>
    </row>
    <row r="705" spans="1:39" ht="37.5" hidden="1" x14ac:dyDescent="0.3">
      <c r="A705" s="124" t="s">
        <v>433</v>
      </c>
      <c r="B705" s="173">
        <v>936</v>
      </c>
      <c r="C705" s="91" t="s">
        <v>122</v>
      </c>
      <c r="D705" s="91" t="s">
        <v>129</v>
      </c>
      <c r="E705" s="128" t="s">
        <v>653</v>
      </c>
      <c r="F705" s="128" t="s">
        <v>60</v>
      </c>
      <c r="G705" s="74">
        <v>0</v>
      </c>
      <c r="H705" s="74">
        <v>0</v>
      </c>
      <c r="I705" s="102">
        <v>545</v>
      </c>
      <c r="AI705" s="100">
        <v>0</v>
      </c>
      <c r="AL705" s="100"/>
      <c r="AM705" s="100"/>
    </row>
    <row r="706" spans="1:39" ht="112.5" hidden="1" x14ac:dyDescent="0.3">
      <c r="A706" s="124" t="s">
        <v>576</v>
      </c>
      <c r="B706" s="173">
        <v>936</v>
      </c>
      <c r="C706" s="91" t="s">
        <v>122</v>
      </c>
      <c r="D706" s="91" t="s">
        <v>129</v>
      </c>
      <c r="E706" s="128" t="s">
        <v>652</v>
      </c>
      <c r="F706" s="128" t="s">
        <v>51</v>
      </c>
      <c r="G706" s="74">
        <f>G707</f>
        <v>0</v>
      </c>
      <c r="H706" s="74">
        <f>H707</f>
        <v>0</v>
      </c>
      <c r="I706" s="102"/>
      <c r="AL706" s="100"/>
      <c r="AM706" s="100"/>
    </row>
    <row r="707" spans="1:39" ht="37.5" hidden="1" x14ac:dyDescent="0.3">
      <c r="A707" s="124" t="s">
        <v>59</v>
      </c>
      <c r="B707" s="173">
        <v>936</v>
      </c>
      <c r="C707" s="91" t="s">
        <v>122</v>
      </c>
      <c r="D707" s="91" t="s">
        <v>129</v>
      </c>
      <c r="E707" s="128" t="s">
        <v>652</v>
      </c>
      <c r="F707" s="128" t="s">
        <v>60</v>
      </c>
      <c r="G707" s="74">
        <v>0</v>
      </c>
      <c r="H707" s="74">
        <v>0</v>
      </c>
      <c r="I707" s="102">
        <v>1000</v>
      </c>
      <c r="AI707" s="100">
        <v>0</v>
      </c>
      <c r="AL707" s="100"/>
      <c r="AM707" s="100"/>
    </row>
    <row r="708" spans="1:39" ht="93.75" hidden="1" x14ac:dyDescent="0.3">
      <c r="A708" s="124" t="s">
        <v>577</v>
      </c>
      <c r="B708" s="173">
        <v>936</v>
      </c>
      <c r="C708" s="91" t="s">
        <v>122</v>
      </c>
      <c r="D708" s="91" t="s">
        <v>129</v>
      </c>
      <c r="E708" s="128" t="s">
        <v>551</v>
      </c>
      <c r="F708" s="128" t="s">
        <v>51</v>
      </c>
      <c r="G708" s="74">
        <f>G709</f>
        <v>0</v>
      </c>
      <c r="H708" s="74">
        <f>H709</f>
        <v>0</v>
      </c>
      <c r="I708" s="102"/>
      <c r="AL708" s="100"/>
      <c r="AM708" s="100"/>
    </row>
    <row r="709" spans="1:39" ht="37.5" hidden="1" x14ac:dyDescent="0.3">
      <c r="A709" s="124" t="s">
        <v>433</v>
      </c>
      <c r="B709" s="173">
        <v>936</v>
      </c>
      <c r="C709" s="91" t="s">
        <v>122</v>
      </c>
      <c r="D709" s="91" t="s">
        <v>129</v>
      </c>
      <c r="E709" s="128" t="s">
        <v>551</v>
      </c>
      <c r="F709" s="128" t="s">
        <v>60</v>
      </c>
      <c r="G709" s="74">
        <v>0</v>
      </c>
      <c r="H709" s="74">
        <v>0</v>
      </c>
      <c r="I709" s="102">
        <v>945</v>
      </c>
      <c r="AE709" s="100">
        <v>-31.395</v>
      </c>
      <c r="AI709" s="100">
        <v>0</v>
      </c>
      <c r="AL709" s="100"/>
      <c r="AM709" s="100"/>
    </row>
    <row r="710" spans="1:39" ht="112.5" hidden="1" x14ac:dyDescent="0.3">
      <c r="A710" s="124" t="s">
        <v>578</v>
      </c>
      <c r="B710" s="173">
        <v>936</v>
      </c>
      <c r="C710" s="91" t="s">
        <v>122</v>
      </c>
      <c r="D710" s="91" t="s">
        <v>129</v>
      </c>
      <c r="E710" s="128" t="s">
        <v>648</v>
      </c>
      <c r="F710" s="128" t="s">
        <v>51</v>
      </c>
      <c r="G710" s="74">
        <f>G711</f>
        <v>0</v>
      </c>
      <c r="H710" s="74">
        <f>H711</f>
        <v>0</v>
      </c>
      <c r="I710" s="102"/>
      <c r="AL710" s="100"/>
      <c r="AM710" s="100"/>
    </row>
    <row r="711" spans="1:39" ht="37.5" hidden="1" x14ac:dyDescent="0.3">
      <c r="A711" s="124" t="s">
        <v>433</v>
      </c>
      <c r="B711" s="173">
        <v>936</v>
      </c>
      <c r="C711" s="91" t="s">
        <v>122</v>
      </c>
      <c r="D711" s="91" t="s">
        <v>129</v>
      </c>
      <c r="E711" s="128" t="s">
        <v>648</v>
      </c>
      <c r="F711" s="128" t="s">
        <v>60</v>
      </c>
      <c r="G711" s="74">
        <v>0</v>
      </c>
      <c r="H711" s="74">
        <v>0</v>
      </c>
      <c r="I711" s="102">
        <v>760</v>
      </c>
      <c r="AE711" s="100">
        <v>-26.561</v>
      </c>
      <c r="AI711" s="100">
        <v>0</v>
      </c>
      <c r="AL711" s="100"/>
      <c r="AM711" s="100"/>
    </row>
    <row r="712" spans="1:39" ht="105" hidden="1" customHeight="1" x14ac:dyDescent="0.3">
      <c r="A712" s="124" t="s">
        <v>579</v>
      </c>
      <c r="B712" s="173">
        <v>936</v>
      </c>
      <c r="C712" s="91" t="s">
        <v>122</v>
      </c>
      <c r="D712" s="91" t="s">
        <v>129</v>
      </c>
      <c r="E712" s="128" t="s">
        <v>646</v>
      </c>
      <c r="F712" s="128" t="s">
        <v>51</v>
      </c>
      <c r="G712" s="74">
        <f>G713</f>
        <v>0</v>
      </c>
      <c r="H712" s="74">
        <f>H713</f>
        <v>0</v>
      </c>
      <c r="I712" s="102"/>
      <c r="AL712" s="100"/>
      <c r="AM712" s="100"/>
    </row>
    <row r="713" spans="1:39" ht="37.5" hidden="1" x14ac:dyDescent="0.3">
      <c r="A713" s="124" t="s">
        <v>59</v>
      </c>
      <c r="B713" s="173">
        <v>936</v>
      </c>
      <c r="C713" s="91" t="s">
        <v>122</v>
      </c>
      <c r="D713" s="91" t="s">
        <v>129</v>
      </c>
      <c r="E713" s="128" t="s">
        <v>646</v>
      </c>
      <c r="F713" s="128" t="s">
        <v>60</v>
      </c>
      <c r="G713" s="74">
        <v>0</v>
      </c>
      <c r="H713" s="74">
        <v>0</v>
      </c>
      <c r="I713" s="102">
        <v>1000</v>
      </c>
      <c r="AI713" s="100">
        <v>0</v>
      </c>
      <c r="AL713" s="100"/>
      <c r="AM713" s="100"/>
    </row>
    <row r="714" spans="1:39" ht="93.75" hidden="1" x14ac:dyDescent="0.3">
      <c r="A714" s="124" t="s">
        <v>580</v>
      </c>
      <c r="B714" s="173">
        <v>936</v>
      </c>
      <c r="C714" s="91" t="s">
        <v>122</v>
      </c>
      <c r="D714" s="91" t="s">
        <v>129</v>
      </c>
      <c r="E714" s="128" t="s">
        <v>645</v>
      </c>
      <c r="F714" s="128" t="s">
        <v>51</v>
      </c>
      <c r="G714" s="74">
        <f>G715</f>
        <v>0</v>
      </c>
      <c r="H714" s="74">
        <f>H715</f>
        <v>0</v>
      </c>
      <c r="I714" s="102"/>
      <c r="AL714" s="100"/>
      <c r="AM714" s="100"/>
    </row>
    <row r="715" spans="1:39" ht="37.5" hidden="1" x14ac:dyDescent="0.3">
      <c r="A715" s="124" t="s">
        <v>433</v>
      </c>
      <c r="B715" s="173">
        <v>936</v>
      </c>
      <c r="C715" s="91" t="s">
        <v>122</v>
      </c>
      <c r="D715" s="91" t="s">
        <v>129</v>
      </c>
      <c r="E715" s="128" t="s">
        <v>645</v>
      </c>
      <c r="F715" s="128" t="s">
        <v>60</v>
      </c>
      <c r="G715" s="74">
        <v>0</v>
      </c>
      <c r="H715" s="74">
        <v>0</v>
      </c>
      <c r="I715" s="102">
        <v>928</v>
      </c>
      <c r="AI715" s="100">
        <v>0</v>
      </c>
      <c r="AL715" s="100"/>
      <c r="AM715" s="100"/>
    </row>
    <row r="716" spans="1:39" ht="112.5" hidden="1" x14ac:dyDescent="0.3">
      <c r="A716" s="124" t="s">
        <v>581</v>
      </c>
      <c r="B716" s="173">
        <v>936</v>
      </c>
      <c r="C716" s="91" t="s">
        <v>122</v>
      </c>
      <c r="D716" s="91" t="s">
        <v>129</v>
      </c>
      <c r="E716" s="128" t="s">
        <v>643</v>
      </c>
      <c r="F716" s="128" t="s">
        <v>51</v>
      </c>
      <c r="G716" s="74">
        <f>G717</f>
        <v>0</v>
      </c>
      <c r="H716" s="74">
        <f>H717</f>
        <v>0</v>
      </c>
      <c r="I716" s="102"/>
      <c r="AL716" s="100"/>
      <c r="AM716" s="100"/>
    </row>
    <row r="717" spans="1:39" ht="37.5" hidden="1" x14ac:dyDescent="0.3">
      <c r="A717" s="124" t="s">
        <v>433</v>
      </c>
      <c r="B717" s="173">
        <v>936</v>
      </c>
      <c r="C717" s="91" t="s">
        <v>122</v>
      </c>
      <c r="D717" s="91" t="s">
        <v>129</v>
      </c>
      <c r="E717" s="128" t="s">
        <v>643</v>
      </c>
      <c r="F717" s="128" t="s">
        <v>60</v>
      </c>
      <c r="G717" s="74">
        <v>0</v>
      </c>
      <c r="H717" s="74">
        <v>0</v>
      </c>
      <c r="I717" s="102">
        <v>790</v>
      </c>
      <c r="AI717" s="100">
        <v>0</v>
      </c>
      <c r="AL717" s="100"/>
      <c r="AM717" s="100"/>
    </row>
    <row r="718" spans="1:39" ht="93.75" hidden="1" x14ac:dyDescent="0.3">
      <c r="A718" s="124" t="s">
        <v>575</v>
      </c>
      <c r="B718" s="173">
        <v>936</v>
      </c>
      <c r="C718" s="91" t="s">
        <v>122</v>
      </c>
      <c r="D718" s="91" t="s">
        <v>129</v>
      </c>
      <c r="E718" s="128" t="s">
        <v>639</v>
      </c>
      <c r="F718" s="128" t="s">
        <v>51</v>
      </c>
      <c r="G718" s="74">
        <f>G719</f>
        <v>0</v>
      </c>
      <c r="H718" s="74">
        <f>H719</f>
        <v>0</v>
      </c>
      <c r="I718" s="102"/>
      <c r="AL718" s="100"/>
      <c r="AM718" s="100"/>
    </row>
    <row r="719" spans="1:39" ht="37.5" hidden="1" x14ac:dyDescent="0.3">
      <c r="A719" s="124" t="s">
        <v>433</v>
      </c>
      <c r="B719" s="173">
        <v>936</v>
      </c>
      <c r="C719" s="91" t="s">
        <v>122</v>
      </c>
      <c r="D719" s="91" t="s">
        <v>129</v>
      </c>
      <c r="E719" s="128" t="s">
        <v>639</v>
      </c>
      <c r="F719" s="128" t="s">
        <v>60</v>
      </c>
      <c r="G719" s="74">
        <v>0</v>
      </c>
      <c r="H719" s="74">
        <v>0</v>
      </c>
      <c r="I719" s="102"/>
      <c r="K719" s="100">
        <v>79.947000000000003</v>
      </c>
      <c r="AA719" s="100">
        <v>-19.086729999999999</v>
      </c>
      <c r="AI719" s="100">
        <v>0</v>
      </c>
      <c r="AL719" s="100"/>
      <c r="AM719" s="100"/>
    </row>
    <row r="720" spans="1:39" ht="112.5" hidden="1" x14ac:dyDescent="0.3">
      <c r="A720" s="124" t="s">
        <v>576</v>
      </c>
      <c r="B720" s="173">
        <v>936</v>
      </c>
      <c r="C720" s="91" t="s">
        <v>122</v>
      </c>
      <c r="D720" s="91" t="s">
        <v>129</v>
      </c>
      <c r="E720" s="128" t="s">
        <v>638</v>
      </c>
      <c r="F720" s="128" t="s">
        <v>51</v>
      </c>
      <c r="G720" s="74">
        <f>G721</f>
        <v>0</v>
      </c>
      <c r="H720" s="74">
        <f>H721</f>
        <v>0</v>
      </c>
      <c r="I720" s="102"/>
      <c r="AL720" s="100"/>
      <c r="AM720" s="100"/>
    </row>
    <row r="721" spans="1:39" ht="37.5" hidden="1" x14ac:dyDescent="0.3">
      <c r="A721" s="124" t="s">
        <v>433</v>
      </c>
      <c r="B721" s="173">
        <v>936</v>
      </c>
      <c r="C721" s="91" t="s">
        <v>122</v>
      </c>
      <c r="D721" s="91" t="s">
        <v>129</v>
      </c>
      <c r="E721" s="128" t="s">
        <v>638</v>
      </c>
      <c r="F721" s="128" t="s">
        <v>60</v>
      </c>
      <c r="G721" s="74">
        <v>0</v>
      </c>
      <c r="H721" s="74">
        <v>0</v>
      </c>
      <c r="I721" s="102"/>
      <c r="K721" s="100">
        <v>228.387</v>
      </c>
      <c r="AI721" s="100">
        <v>0</v>
      </c>
      <c r="AL721" s="100"/>
      <c r="AM721" s="100"/>
    </row>
    <row r="722" spans="1:39" ht="93.75" hidden="1" x14ac:dyDescent="0.3">
      <c r="A722" s="124" t="s">
        <v>577</v>
      </c>
      <c r="B722" s="173">
        <v>936</v>
      </c>
      <c r="C722" s="91" t="s">
        <v>122</v>
      </c>
      <c r="D722" s="91" t="s">
        <v>129</v>
      </c>
      <c r="E722" s="128" t="s">
        <v>635</v>
      </c>
      <c r="F722" s="128" t="s">
        <v>51</v>
      </c>
      <c r="G722" s="74">
        <f>G723</f>
        <v>0</v>
      </c>
      <c r="H722" s="74">
        <f>H723</f>
        <v>0</v>
      </c>
      <c r="I722" s="102"/>
      <c r="AL722" s="100"/>
      <c r="AM722" s="100"/>
    </row>
    <row r="723" spans="1:39" ht="37.5" hidden="1" x14ac:dyDescent="0.3">
      <c r="A723" s="124" t="s">
        <v>433</v>
      </c>
      <c r="B723" s="173">
        <v>936</v>
      </c>
      <c r="C723" s="91" t="s">
        <v>122</v>
      </c>
      <c r="D723" s="91" t="s">
        <v>129</v>
      </c>
      <c r="E723" s="128" t="s">
        <v>635</v>
      </c>
      <c r="F723" s="128" t="s">
        <v>60</v>
      </c>
      <c r="G723" s="74">
        <v>0</v>
      </c>
      <c r="H723" s="74">
        <v>0</v>
      </c>
      <c r="I723" s="102"/>
      <c r="K723" s="100">
        <v>129.23699999999999</v>
      </c>
      <c r="AI723" s="100">
        <v>0</v>
      </c>
      <c r="AL723" s="100"/>
      <c r="AM723" s="100"/>
    </row>
    <row r="724" spans="1:39" ht="112.5" hidden="1" x14ac:dyDescent="0.3">
      <c r="A724" s="124" t="s">
        <v>578</v>
      </c>
      <c r="B724" s="173">
        <v>936</v>
      </c>
      <c r="C724" s="91" t="s">
        <v>122</v>
      </c>
      <c r="D724" s="91" t="s">
        <v>129</v>
      </c>
      <c r="E724" s="128" t="s">
        <v>634</v>
      </c>
      <c r="F724" s="128" t="s">
        <v>51</v>
      </c>
      <c r="G724" s="74">
        <f>G725</f>
        <v>0</v>
      </c>
      <c r="H724" s="74">
        <f>H725</f>
        <v>0</v>
      </c>
      <c r="I724" s="102"/>
      <c r="AL724" s="100"/>
      <c r="AM724" s="100"/>
    </row>
    <row r="725" spans="1:39" ht="37.5" hidden="1" x14ac:dyDescent="0.3">
      <c r="A725" s="124" t="s">
        <v>433</v>
      </c>
      <c r="B725" s="173">
        <v>936</v>
      </c>
      <c r="C725" s="91" t="s">
        <v>122</v>
      </c>
      <c r="D725" s="91" t="s">
        <v>129</v>
      </c>
      <c r="E725" s="128" t="s">
        <v>634</v>
      </c>
      <c r="F725" s="128" t="s">
        <v>60</v>
      </c>
      <c r="G725" s="74">
        <v>0</v>
      </c>
      <c r="H725" s="74">
        <v>0</v>
      </c>
      <c r="I725" s="102"/>
      <c r="K725" s="100">
        <v>109.40600000000001</v>
      </c>
      <c r="AI725" s="100">
        <v>0</v>
      </c>
      <c r="AL725" s="100"/>
      <c r="AM725" s="100"/>
    </row>
    <row r="726" spans="1:39" ht="112.5" hidden="1" x14ac:dyDescent="0.3">
      <c r="A726" s="124" t="s">
        <v>579</v>
      </c>
      <c r="B726" s="173">
        <v>936</v>
      </c>
      <c r="C726" s="91" t="s">
        <v>122</v>
      </c>
      <c r="D726" s="91" t="s">
        <v>129</v>
      </c>
      <c r="E726" s="128" t="s">
        <v>631</v>
      </c>
      <c r="F726" s="128" t="s">
        <v>51</v>
      </c>
      <c r="G726" s="74">
        <f>G727</f>
        <v>0</v>
      </c>
      <c r="H726" s="74">
        <f>H727</f>
        <v>0</v>
      </c>
      <c r="I726" s="102"/>
      <c r="AL726" s="100"/>
      <c r="AM726" s="100"/>
    </row>
    <row r="727" spans="1:39" ht="37.5" hidden="1" x14ac:dyDescent="0.3">
      <c r="A727" s="124" t="s">
        <v>433</v>
      </c>
      <c r="B727" s="173">
        <v>936</v>
      </c>
      <c r="C727" s="91" t="s">
        <v>122</v>
      </c>
      <c r="D727" s="91" t="s">
        <v>129</v>
      </c>
      <c r="E727" s="128" t="s">
        <v>631</v>
      </c>
      <c r="F727" s="128" t="s">
        <v>60</v>
      </c>
      <c r="G727" s="74">
        <v>0</v>
      </c>
      <c r="H727" s="74">
        <v>0</v>
      </c>
      <c r="I727" s="102"/>
      <c r="K727" s="100">
        <v>139.03800000000001</v>
      </c>
      <c r="AA727" s="100">
        <v>-39.214739999999999</v>
      </c>
      <c r="AI727" s="100">
        <v>0</v>
      </c>
      <c r="AL727" s="100"/>
      <c r="AM727" s="100"/>
    </row>
    <row r="728" spans="1:39" ht="93.75" hidden="1" x14ac:dyDescent="0.3">
      <c r="A728" s="124" t="s">
        <v>580</v>
      </c>
      <c r="B728" s="173">
        <v>936</v>
      </c>
      <c r="C728" s="91" t="s">
        <v>122</v>
      </c>
      <c r="D728" s="91" t="s">
        <v>129</v>
      </c>
      <c r="E728" s="128" t="s">
        <v>630</v>
      </c>
      <c r="F728" s="128" t="s">
        <v>51</v>
      </c>
      <c r="G728" s="74">
        <f>G729</f>
        <v>0</v>
      </c>
      <c r="H728" s="74">
        <f>H729</f>
        <v>0</v>
      </c>
      <c r="I728" s="102"/>
      <c r="AL728" s="100"/>
      <c r="AM728" s="100"/>
    </row>
    <row r="729" spans="1:39" ht="37.5" hidden="1" x14ac:dyDescent="0.3">
      <c r="A729" s="124" t="s">
        <v>433</v>
      </c>
      <c r="B729" s="173">
        <v>936</v>
      </c>
      <c r="C729" s="91" t="s">
        <v>122</v>
      </c>
      <c r="D729" s="91" t="s">
        <v>129</v>
      </c>
      <c r="E729" s="128" t="s">
        <v>630</v>
      </c>
      <c r="F729" s="128" t="s">
        <v>60</v>
      </c>
      <c r="G729" s="74">
        <v>0</v>
      </c>
      <c r="H729" s="74">
        <v>0</v>
      </c>
      <c r="I729" s="102"/>
      <c r="K729" s="100">
        <v>126.07599999999999</v>
      </c>
      <c r="AI729" s="100">
        <v>0</v>
      </c>
      <c r="AL729" s="100"/>
      <c r="AM729" s="100"/>
    </row>
    <row r="730" spans="1:39" ht="112.5" hidden="1" x14ac:dyDescent="0.3">
      <c r="A730" s="124" t="s">
        <v>581</v>
      </c>
      <c r="B730" s="173">
        <v>936</v>
      </c>
      <c r="C730" s="91" t="s">
        <v>122</v>
      </c>
      <c r="D730" s="91" t="s">
        <v>129</v>
      </c>
      <c r="E730" s="128" t="s">
        <v>628</v>
      </c>
      <c r="F730" s="128" t="s">
        <v>51</v>
      </c>
      <c r="G730" s="74">
        <f>G731</f>
        <v>0</v>
      </c>
      <c r="H730" s="74">
        <f>H731</f>
        <v>0</v>
      </c>
      <c r="I730" s="102"/>
      <c r="AL730" s="100"/>
      <c r="AM730" s="100"/>
    </row>
    <row r="731" spans="1:39" ht="37.5" hidden="1" x14ac:dyDescent="0.3">
      <c r="A731" s="124" t="s">
        <v>433</v>
      </c>
      <c r="B731" s="173">
        <v>936</v>
      </c>
      <c r="C731" s="91" t="s">
        <v>122</v>
      </c>
      <c r="D731" s="91" t="s">
        <v>129</v>
      </c>
      <c r="E731" s="128" t="s">
        <v>628</v>
      </c>
      <c r="F731" s="128" t="s">
        <v>60</v>
      </c>
      <c r="G731" s="74">
        <v>0</v>
      </c>
      <c r="H731" s="74">
        <v>0</v>
      </c>
      <c r="I731" s="102"/>
      <c r="K731" s="100">
        <v>115.376</v>
      </c>
      <c r="AI731" s="100">
        <v>0</v>
      </c>
      <c r="AL731" s="100"/>
      <c r="AM731" s="100"/>
    </row>
    <row r="732" spans="1:39" hidden="1" x14ac:dyDescent="0.3">
      <c r="A732" s="124" t="s">
        <v>63</v>
      </c>
      <c r="B732" s="122">
        <v>936</v>
      </c>
      <c r="C732" s="91" t="s">
        <v>122</v>
      </c>
      <c r="D732" s="91" t="s">
        <v>129</v>
      </c>
      <c r="E732" s="91" t="s">
        <v>254</v>
      </c>
      <c r="F732" s="91" t="s">
        <v>51</v>
      </c>
      <c r="G732" s="74">
        <f>G733+G735+G737+G739+G741+G743+G745</f>
        <v>0</v>
      </c>
      <c r="H732" s="74">
        <f>H733+H735+H737+H739+H741+H743+H745</f>
        <v>0</v>
      </c>
      <c r="I732" s="102"/>
      <c r="AL732" s="100"/>
      <c r="AM732" s="100"/>
    </row>
    <row r="733" spans="1:39" ht="75" hidden="1" x14ac:dyDescent="0.3">
      <c r="A733" s="124" t="s">
        <v>582</v>
      </c>
      <c r="B733" s="173">
        <v>936</v>
      </c>
      <c r="C733" s="91" t="s">
        <v>122</v>
      </c>
      <c r="D733" s="91" t="s">
        <v>129</v>
      </c>
      <c r="E733" s="128" t="s">
        <v>668</v>
      </c>
      <c r="F733" s="128" t="s">
        <v>51</v>
      </c>
      <c r="G733" s="74">
        <f>G734</f>
        <v>0</v>
      </c>
      <c r="H733" s="74">
        <f>H734</f>
        <v>0</v>
      </c>
      <c r="I733" s="102"/>
      <c r="AL733" s="100"/>
      <c r="AM733" s="100"/>
    </row>
    <row r="734" spans="1:39" ht="37.5" hidden="1" x14ac:dyDescent="0.3">
      <c r="A734" s="124" t="s">
        <v>433</v>
      </c>
      <c r="B734" s="173">
        <v>936</v>
      </c>
      <c r="C734" s="91" t="s">
        <v>122</v>
      </c>
      <c r="D734" s="91" t="s">
        <v>129</v>
      </c>
      <c r="E734" s="128" t="s">
        <v>668</v>
      </c>
      <c r="F734" s="128" t="s">
        <v>60</v>
      </c>
      <c r="G734" s="74">
        <v>0</v>
      </c>
      <c r="H734" s="74">
        <v>0</v>
      </c>
      <c r="I734" s="102"/>
      <c r="K734" s="100">
        <v>169</v>
      </c>
      <c r="AI734" s="100">
        <v>0</v>
      </c>
      <c r="AL734" s="100"/>
      <c r="AM734" s="100"/>
    </row>
    <row r="735" spans="1:39" ht="93.75" hidden="1" x14ac:dyDescent="0.3">
      <c r="A735" s="124" t="s">
        <v>583</v>
      </c>
      <c r="B735" s="173">
        <v>936</v>
      </c>
      <c r="C735" s="91" t="s">
        <v>122</v>
      </c>
      <c r="D735" s="91" t="s">
        <v>129</v>
      </c>
      <c r="E735" s="128" t="s">
        <v>667</v>
      </c>
      <c r="F735" s="128" t="s">
        <v>51</v>
      </c>
      <c r="G735" s="74">
        <f>G736</f>
        <v>0</v>
      </c>
      <c r="H735" s="74">
        <f>H736</f>
        <v>0</v>
      </c>
      <c r="I735" s="102"/>
      <c r="AL735" s="100"/>
      <c r="AM735" s="100"/>
    </row>
    <row r="736" spans="1:39" ht="37.5" hidden="1" x14ac:dyDescent="0.3">
      <c r="A736" s="124" t="s">
        <v>433</v>
      </c>
      <c r="B736" s="173">
        <v>936</v>
      </c>
      <c r="C736" s="91" t="s">
        <v>122</v>
      </c>
      <c r="D736" s="91" t="s">
        <v>129</v>
      </c>
      <c r="E736" s="128" t="s">
        <v>667</v>
      </c>
      <c r="F736" s="128" t="s">
        <v>60</v>
      </c>
      <c r="G736" s="74">
        <v>0</v>
      </c>
      <c r="H736" s="74">
        <v>0</v>
      </c>
      <c r="I736" s="102"/>
      <c r="K736" s="100">
        <v>296</v>
      </c>
      <c r="AI736" s="100">
        <v>0</v>
      </c>
      <c r="AL736" s="100"/>
      <c r="AM736" s="100"/>
    </row>
    <row r="737" spans="1:39" ht="75" hidden="1" x14ac:dyDescent="0.3">
      <c r="A737" s="124" t="s">
        <v>584</v>
      </c>
      <c r="B737" s="173">
        <v>936</v>
      </c>
      <c r="C737" s="91" t="s">
        <v>122</v>
      </c>
      <c r="D737" s="91" t="s">
        <v>129</v>
      </c>
      <c r="E737" s="128" t="s">
        <v>664</v>
      </c>
      <c r="F737" s="128" t="s">
        <v>51</v>
      </c>
      <c r="G737" s="74">
        <f>G738</f>
        <v>0</v>
      </c>
      <c r="H737" s="74">
        <f>H738</f>
        <v>0</v>
      </c>
      <c r="I737" s="102"/>
      <c r="AL737" s="100"/>
      <c r="AM737" s="100"/>
    </row>
    <row r="738" spans="1:39" ht="37.5" hidden="1" x14ac:dyDescent="0.3">
      <c r="A738" s="124" t="s">
        <v>433</v>
      </c>
      <c r="B738" s="173">
        <v>936</v>
      </c>
      <c r="C738" s="91" t="s">
        <v>122</v>
      </c>
      <c r="D738" s="91" t="s">
        <v>129</v>
      </c>
      <c r="E738" s="128" t="s">
        <v>664</v>
      </c>
      <c r="F738" s="128" t="s">
        <v>60</v>
      </c>
      <c r="G738" s="74">
        <v>0</v>
      </c>
      <c r="H738" s="74">
        <v>0</v>
      </c>
      <c r="I738" s="102"/>
      <c r="K738" s="100">
        <v>208</v>
      </c>
      <c r="AI738" s="100">
        <v>0</v>
      </c>
      <c r="AL738" s="100"/>
      <c r="AM738" s="100"/>
    </row>
    <row r="739" spans="1:39" ht="93.75" hidden="1" x14ac:dyDescent="0.3">
      <c r="A739" s="124" t="s">
        <v>585</v>
      </c>
      <c r="B739" s="173">
        <v>936</v>
      </c>
      <c r="C739" s="91" t="s">
        <v>122</v>
      </c>
      <c r="D739" s="91" t="s">
        <v>129</v>
      </c>
      <c r="E739" s="128" t="s">
        <v>663</v>
      </c>
      <c r="F739" s="128" t="s">
        <v>51</v>
      </c>
      <c r="G739" s="74">
        <f>G740</f>
        <v>0</v>
      </c>
      <c r="H739" s="74">
        <f>H740</f>
        <v>0</v>
      </c>
      <c r="I739" s="102"/>
      <c r="AL739" s="100"/>
      <c r="AM739" s="100"/>
    </row>
    <row r="740" spans="1:39" ht="37.5" hidden="1" x14ac:dyDescent="0.3">
      <c r="A740" s="124" t="s">
        <v>433</v>
      </c>
      <c r="B740" s="173">
        <v>936</v>
      </c>
      <c r="C740" s="91" t="s">
        <v>122</v>
      </c>
      <c r="D740" s="91" t="s">
        <v>129</v>
      </c>
      <c r="E740" s="128" t="s">
        <v>663</v>
      </c>
      <c r="F740" s="128" t="s">
        <v>60</v>
      </c>
      <c r="G740" s="74">
        <v>0</v>
      </c>
      <c r="H740" s="74">
        <v>0</v>
      </c>
      <c r="I740" s="102"/>
      <c r="K740" s="100">
        <v>170</v>
      </c>
      <c r="AI740" s="100">
        <v>0</v>
      </c>
      <c r="AL740" s="100"/>
      <c r="AM740" s="100"/>
    </row>
    <row r="741" spans="1:39" ht="75" hidden="1" x14ac:dyDescent="0.3">
      <c r="A741" s="124" t="s">
        <v>586</v>
      </c>
      <c r="B741" s="173">
        <v>936</v>
      </c>
      <c r="C741" s="91" t="s">
        <v>122</v>
      </c>
      <c r="D741" s="91" t="s">
        <v>129</v>
      </c>
      <c r="E741" s="128" t="s">
        <v>661</v>
      </c>
      <c r="F741" s="128" t="s">
        <v>51</v>
      </c>
      <c r="G741" s="74">
        <f>G742</f>
        <v>0</v>
      </c>
      <c r="H741" s="74">
        <f>H742</f>
        <v>0</v>
      </c>
      <c r="I741" s="102"/>
      <c r="AL741" s="100"/>
      <c r="AM741" s="100"/>
    </row>
    <row r="742" spans="1:39" ht="37.5" hidden="1" x14ac:dyDescent="0.3">
      <c r="A742" s="124" t="s">
        <v>433</v>
      </c>
      <c r="B742" s="173">
        <v>936</v>
      </c>
      <c r="C742" s="91" t="s">
        <v>122</v>
      </c>
      <c r="D742" s="91" t="s">
        <v>129</v>
      </c>
      <c r="E742" s="128" t="s">
        <v>661</v>
      </c>
      <c r="F742" s="128" t="s">
        <v>60</v>
      </c>
      <c r="G742" s="74">
        <v>0</v>
      </c>
      <c r="H742" s="74">
        <v>0</v>
      </c>
      <c r="I742" s="102"/>
      <c r="K742" s="100">
        <v>185</v>
      </c>
      <c r="AI742" s="100">
        <v>0</v>
      </c>
      <c r="AL742" s="100"/>
      <c r="AM742" s="100"/>
    </row>
    <row r="743" spans="1:39" ht="75" hidden="1" x14ac:dyDescent="0.3">
      <c r="A743" s="124" t="s">
        <v>587</v>
      </c>
      <c r="B743" s="173">
        <v>936</v>
      </c>
      <c r="C743" s="91" t="s">
        <v>122</v>
      </c>
      <c r="D743" s="91" t="s">
        <v>129</v>
      </c>
      <c r="E743" s="128" t="s">
        <v>660</v>
      </c>
      <c r="F743" s="128" t="s">
        <v>51</v>
      </c>
      <c r="G743" s="74">
        <f>G744</f>
        <v>0</v>
      </c>
      <c r="H743" s="74">
        <f>H744</f>
        <v>0</v>
      </c>
      <c r="I743" s="102"/>
      <c r="AL743" s="100"/>
      <c r="AM743" s="100"/>
    </row>
    <row r="744" spans="1:39" ht="37.5" hidden="1" x14ac:dyDescent="0.3">
      <c r="A744" s="124" t="s">
        <v>433</v>
      </c>
      <c r="B744" s="173">
        <v>936</v>
      </c>
      <c r="C744" s="91" t="s">
        <v>122</v>
      </c>
      <c r="D744" s="91" t="s">
        <v>129</v>
      </c>
      <c r="E744" s="128" t="s">
        <v>660</v>
      </c>
      <c r="F744" s="128" t="s">
        <v>60</v>
      </c>
      <c r="G744" s="74">
        <v>0</v>
      </c>
      <c r="H744" s="74">
        <v>0</v>
      </c>
      <c r="I744" s="102"/>
      <c r="K744" s="100">
        <v>203</v>
      </c>
      <c r="AI744" s="100">
        <v>0</v>
      </c>
      <c r="AL744" s="100"/>
      <c r="AM744" s="100"/>
    </row>
    <row r="745" spans="1:39" ht="93.75" hidden="1" x14ac:dyDescent="0.3">
      <c r="A745" s="124" t="s">
        <v>588</v>
      </c>
      <c r="B745" s="173">
        <v>936</v>
      </c>
      <c r="C745" s="91" t="s">
        <v>122</v>
      </c>
      <c r="D745" s="91" t="s">
        <v>129</v>
      </c>
      <c r="E745" s="128" t="s">
        <v>658</v>
      </c>
      <c r="F745" s="128" t="s">
        <v>51</v>
      </c>
      <c r="G745" s="74">
        <f>G746</f>
        <v>0</v>
      </c>
      <c r="H745" s="74">
        <f>H746</f>
        <v>0</v>
      </c>
      <c r="I745" s="102"/>
      <c r="AL745" s="100"/>
      <c r="AM745" s="100"/>
    </row>
    <row r="746" spans="1:39" ht="37.5" hidden="1" x14ac:dyDescent="0.3">
      <c r="A746" s="124" t="s">
        <v>433</v>
      </c>
      <c r="B746" s="173">
        <v>936</v>
      </c>
      <c r="C746" s="91" t="s">
        <v>122</v>
      </c>
      <c r="D746" s="91" t="s">
        <v>129</v>
      </c>
      <c r="E746" s="128" t="s">
        <v>658</v>
      </c>
      <c r="F746" s="128" t="s">
        <v>60</v>
      </c>
      <c r="G746" s="74">
        <v>0</v>
      </c>
      <c r="H746" s="74">
        <v>0</v>
      </c>
      <c r="I746" s="102"/>
      <c r="K746" s="100">
        <v>236</v>
      </c>
      <c r="AI746" s="100">
        <v>0</v>
      </c>
      <c r="AL746" s="100"/>
      <c r="AM746" s="100"/>
    </row>
    <row r="747" spans="1:39" ht="44.25" hidden="1" customHeight="1" x14ac:dyDescent="0.3">
      <c r="A747" s="121" t="s">
        <v>12</v>
      </c>
      <c r="B747" s="122">
        <v>936</v>
      </c>
      <c r="C747" s="91" t="s">
        <v>122</v>
      </c>
      <c r="D747" s="91" t="s">
        <v>129</v>
      </c>
      <c r="E747" s="123" t="s">
        <v>103</v>
      </c>
      <c r="F747" s="91" t="s">
        <v>51</v>
      </c>
      <c r="G747" s="74">
        <f t="shared" ref="G747:H750" si="30">G748</f>
        <v>0</v>
      </c>
      <c r="H747" s="74">
        <f t="shared" si="30"/>
        <v>0</v>
      </c>
      <c r="I747" s="102"/>
      <c r="AI747" s="100">
        <v>0</v>
      </c>
      <c r="AL747" s="100"/>
      <c r="AM747" s="100"/>
    </row>
    <row r="748" spans="1:39" ht="37.5" hidden="1" x14ac:dyDescent="0.3">
      <c r="A748" s="172" t="s">
        <v>407</v>
      </c>
      <c r="B748" s="127">
        <v>936</v>
      </c>
      <c r="C748" s="91" t="s">
        <v>122</v>
      </c>
      <c r="D748" s="91" t="s">
        <v>129</v>
      </c>
      <c r="E748" s="128" t="s">
        <v>356</v>
      </c>
      <c r="F748" s="138" t="s">
        <v>51</v>
      </c>
      <c r="G748" s="74">
        <f t="shared" si="30"/>
        <v>0</v>
      </c>
      <c r="H748" s="74">
        <f t="shared" si="30"/>
        <v>0</v>
      </c>
      <c r="I748" s="102"/>
      <c r="AL748" s="100"/>
      <c r="AM748" s="100"/>
    </row>
    <row r="749" spans="1:39" ht="37.5" hidden="1" x14ac:dyDescent="0.3">
      <c r="A749" s="172" t="s">
        <v>408</v>
      </c>
      <c r="B749" s="127">
        <v>936</v>
      </c>
      <c r="C749" s="91" t="s">
        <v>122</v>
      </c>
      <c r="D749" s="91" t="s">
        <v>129</v>
      </c>
      <c r="E749" s="128" t="s">
        <v>357</v>
      </c>
      <c r="F749" s="138" t="s">
        <v>51</v>
      </c>
      <c r="G749" s="74">
        <f t="shared" si="30"/>
        <v>0</v>
      </c>
      <c r="H749" s="74">
        <f t="shared" si="30"/>
        <v>0</v>
      </c>
      <c r="I749" s="102"/>
      <c r="AL749" s="100"/>
      <c r="AM749" s="100"/>
    </row>
    <row r="750" spans="1:39" ht="37.5" hidden="1" x14ac:dyDescent="0.3">
      <c r="A750" s="130" t="s">
        <v>355</v>
      </c>
      <c r="B750" s="127">
        <v>936</v>
      </c>
      <c r="C750" s="91" t="s">
        <v>122</v>
      </c>
      <c r="D750" s="91" t="s">
        <v>129</v>
      </c>
      <c r="E750" s="128" t="s">
        <v>358</v>
      </c>
      <c r="F750" s="128" t="s">
        <v>51</v>
      </c>
      <c r="G750" s="74">
        <f t="shared" si="30"/>
        <v>0</v>
      </c>
      <c r="H750" s="74">
        <f t="shared" si="30"/>
        <v>0</v>
      </c>
      <c r="I750" s="102"/>
      <c r="AL750" s="100"/>
      <c r="AM750" s="100"/>
    </row>
    <row r="751" spans="1:39" ht="37.5" hidden="1" x14ac:dyDescent="0.3">
      <c r="A751" s="124" t="s">
        <v>433</v>
      </c>
      <c r="B751" s="173">
        <v>936</v>
      </c>
      <c r="C751" s="91" t="s">
        <v>122</v>
      </c>
      <c r="D751" s="91" t="s">
        <v>129</v>
      </c>
      <c r="E751" s="128" t="s">
        <v>358</v>
      </c>
      <c r="F751" s="128" t="s">
        <v>60</v>
      </c>
      <c r="G751" s="74">
        <v>0</v>
      </c>
      <c r="H751" s="74">
        <v>0</v>
      </c>
      <c r="I751" s="102"/>
      <c r="AI751" s="100">
        <v>0</v>
      </c>
      <c r="AL751" s="100"/>
      <c r="AM751" s="100"/>
    </row>
    <row r="752" spans="1:39" ht="37.5" x14ac:dyDescent="0.3">
      <c r="A752" s="119" t="s">
        <v>261</v>
      </c>
      <c r="B752" s="118">
        <v>936</v>
      </c>
      <c r="C752" s="114" t="s">
        <v>122</v>
      </c>
      <c r="D752" s="120">
        <v>12</v>
      </c>
      <c r="E752" s="118" t="s">
        <v>50</v>
      </c>
      <c r="F752" s="114" t="s">
        <v>51</v>
      </c>
      <c r="G752" s="93">
        <f>G753+G763+G776+G778</f>
        <v>240</v>
      </c>
      <c r="H752" s="93">
        <f>H753+H763+H776+H778</f>
        <v>0</v>
      </c>
      <c r="I752" s="102"/>
      <c r="AL752" s="100"/>
      <c r="AM752" s="100"/>
    </row>
    <row r="753" spans="1:39" ht="59.25" hidden="1" customHeight="1" outlineLevel="1" x14ac:dyDescent="0.3">
      <c r="A753" s="121" t="s">
        <v>13</v>
      </c>
      <c r="B753" s="122">
        <v>936</v>
      </c>
      <c r="C753" s="91" t="s">
        <v>122</v>
      </c>
      <c r="D753" s="105">
        <v>12</v>
      </c>
      <c r="E753" s="123" t="s">
        <v>136</v>
      </c>
      <c r="F753" s="91" t="s">
        <v>51</v>
      </c>
      <c r="G753" s="74">
        <f>G754+G759</f>
        <v>0</v>
      </c>
      <c r="H753" s="74">
        <f>H754+H759</f>
        <v>0</v>
      </c>
      <c r="I753" s="102"/>
      <c r="AL753" s="100"/>
      <c r="AM753" s="100"/>
    </row>
    <row r="754" spans="1:39" ht="37.5" hidden="1" outlineLevel="2" x14ac:dyDescent="0.3">
      <c r="A754" s="121" t="s">
        <v>15</v>
      </c>
      <c r="B754" s="122">
        <v>936</v>
      </c>
      <c r="C754" s="91" t="s">
        <v>122</v>
      </c>
      <c r="D754" s="105">
        <v>12</v>
      </c>
      <c r="E754" s="123" t="s">
        <v>31</v>
      </c>
      <c r="F754" s="91" t="s">
        <v>51</v>
      </c>
      <c r="G754" s="74">
        <f>G755</f>
        <v>0</v>
      </c>
      <c r="H754" s="74">
        <f>H755</f>
        <v>0</v>
      </c>
      <c r="I754" s="102"/>
      <c r="AL754" s="100"/>
      <c r="AM754" s="100"/>
    </row>
    <row r="755" spans="1:39" hidden="1" outlineLevel="2" x14ac:dyDescent="0.3">
      <c r="A755" s="124" t="s">
        <v>63</v>
      </c>
      <c r="B755" s="122">
        <v>936</v>
      </c>
      <c r="C755" s="91" t="s">
        <v>122</v>
      </c>
      <c r="D755" s="105" t="s">
        <v>262</v>
      </c>
      <c r="E755" s="91" t="s">
        <v>265</v>
      </c>
      <c r="F755" s="91" t="s">
        <v>51</v>
      </c>
      <c r="G755" s="74">
        <f>G756</f>
        <v>0</v>
      </c>
      <c r="H755" s="74">
        <f>H756</f>
        <v>0</v>
      </c>
      <c r="I755" s="102"/>
      <c r="AL755" s="100"/>
      <c r="AM755" s="100"/>
    </row>
    <row r="756" spans="1:39" hidden="1" outlineLevel="2" x14ac:dyDescent="0.3">
      <c r="A756" s="124" t="s">
        <v>263</v>
      </c>
      <c r="B756" s="122">
        <v>936</v>
      </c>
      <c r="C756" s="91" t="s">
        <v>122</v>
      </c>
      <c r="D756" s="105" t="s">
        <v>262</v>
      </c>
      <c r="E756" s="91" t="s">
        <v>266</v>
      </c>
      <c r="F756" s="91" t="s">
        <v>51</v>
      </c>
      <c r="G756" s="74">
        <f>G757+G758</f>
        <v>0</v>
      </c>
      <c r="H756" s="74">
        <f>H757+H758</f>
        <v>0</v>
      </c>
      <c r="I756" s="102"/>
      <c r="AL756" s="100"/>
      <c r="AM756" s="100"/>
    </row>
    <row r="757" spans="1:39" ht="37.5" hidden="1" outlineLevel="2" x14ac:dyDescent="0.3">
      <c r="A757" s="124" t="s">
        <v>59</v>
      </c>
      <c r="B757" s="122">
        <v>936</v>
      </c>
      <c r="C757" s="91" t="s">
        <v>122</v>
      </c>
      <c r="D757" s="105" t="s">
        <v>262</v>
      </c>
      <c r="E757" s="91" t="s">
        <v>266</v>
      </c>
      <c r="F757" s="91" t="s">
        <v>60</v>
      </c>
      <c r="G757" s="74"/>
      <c r="H757" s="74"/>
      <c r="I757" s="102"/>
      <c r="AL757" s="100"/>
      <c r="AM757" s="100"/>
    </row>
    <row r="758" spans="1:39" ht="49.5" hidden="1" customHeight="1" outlineLevel="2" x14ac:dyDescent="0.3">
      <c r="A758" s="124" t="s">
        <v>267</v>
      </c>
      <c r="B758" s="122">
        <v>936</v>
      </c>
      <c r="C758" s="91" t="s">
        <v>122</v>
      </c>
      <c r="D758" s="91" t="s">
        <v>262</v>
      </c>
      <c r="E758" s="91" t="s">
        <v>266</v>
      </c>
      <c r="F758" s="91" t="s">
        <v>264</v>
      </c>
      <c r="G758" s="74"/>
      <c r="H758" s="74"/>
      <c r="I758" s="102"/>
      <c r="AL758" s="100"/>
      <c r="AM758" s="100"/>
    </row>
    <row r="759" spans="1:39" hidden="1" outlineLevel="1" x14ac:dyDescent="0.3">
      <c r="A759" s="124" t="s">
        <v>417</v>
      </c>
      <c r="B759" s="162">
        <v>936</v>
      </c>
      <c r="C759" s="163" t="s">
        <v>122</v>
      </c>
      <c r="D759" s="174" t="s">
        <v>262</v>
      </c>
      <c r="E759" s="138" t="s">
        <v>137</v>
      </c>
      <c r="F759" s="138" t="s">
        <v>51</v>
      </c>
      <c r="G759" s="74">
        <f t="shared" ref="G759:H761" si="31">G760</f>
        <v>0</v>
      </c>
      <c r="H759" s="74">
        <f t="shared" si="31"/>
        <v>0</v>
      </c>
      <c r="I759" s="102"/>
      <c r="AL759" s="100"/>
      <c r="AM759" s="100"/>
    </row>
    <row r="760" spans="1:39" hidden="1" outlineLevel="1" x14ac:dyDescent="0.3">
      <c r="A760" s="137" t="s">
        <v>63</v>
      </c>
      <c r="B760" s="162">
        <v>936</v>
      </c>
      <c r="C760" s="163" t="s">
        <v>122</v>
      </c>
      <c r="D760" s="174" t="s">
        <v>262</v>
      </c>
      <c r="E760" s="138" t="s">
        <v>269</v>
      </c>
      <c r="F760" s="138" t="s">
        <v>51</v>
      </c>
      <c r="G760" s="74">
        <f t="shared" si="31"/>
        <v>0</v>
      </c>
      <c r="H760" s="74">
        <f t="shared" si="31"/>
        <v>0</v>
      </c>
      <c r="I760" s="102"/>
      <c r="AL760" s="100"/>
      <c r="AM760" s="100"/>
    </row>
    <row r="761" spans="1:39" ht="37.5" hidden="1" outlineLevel="1" x14ac:dyDescent="0.3">
      <c r="A761" s="137" t="s">
        <v>268</v>
      </c>
      <c r="B761" s="162">
        <v>936</v>
      </c>
      <c r="C761" s="163" t="s">
        <v>122</v>
      </c>
      <c r="D761" s="174" t="s">
        <v>262</v>
      </c>
      <c r="E761" s="138" t="s">
        <v>270</v>
      </c>
      <c r="F761" s="138" t="s">
        <v>51</v>
      </c>
      <c r="G761" s="74">
        <f t="shared" si="31"/>
        <v>0</v>
      </c>
      <c r="H761" s="74">
        <f t="shared" si="31"/>
        <v>0</v>
      </c>
      <c r="I761" s="102"/>
    </row>
    <row r="762" spans="1:39" ht="37.5" hidden="1" outlineLevel="1" x14ac:dyDescent="0.3">
      <c r="A762" s="124" t="s">
        <v>433</v>
      </c>
      <c r="B762" s="162">
        <v>936</v>
      </c>
      <c r="C762" s="163" t="s">
        <v>122</v>
      </c>
      <c r="D762" s="174" t="s">
        <v>262</v>
      </c>
      <c r="E762" s="138" t="s">
        <v>270</v>
      </c>
      <c r="F762" s="138" t="s">
        <v>60</v>
      </c>
      <c r="G762" s="74">
        <v>0</v>
      </c>
      <c r="H762" s="74">
        <v>0</v>
      </c>
      <c r="I762" s="102"/>
    </row>
    <row r="763" spans="1:39" ht="56.25" hidden="1" x14ac:dyDescent="0.3">
      <c r="A763" s="121" t="s">
        <v>20</v>
      </c>
      <c r="B763" s="162">
        <v>936</v>
      </c>
      <c r="C763" s="163" t="s">
        <v>122</v>
      </c>
      <c r="D763" s="174" t="s">
        <v>262</v>
      </c>
      <c r="E763" s="123" t="s">
        <v>21</v>
      </c>
      <c r="F763" s="138" t="s">
        <v>51</v>
      </c>
      <c r="G763" s="74">
        <f>G764+G772</f>
        <v>0</v>
      </c>
      <c r="H763" s="74">
        <f>H764+H772</f>
        <v>0</v>
      </c>
      <c r="I763" s="102"/>
    </row>
    <row r="764" spans="1:39" hidden="1" x14ac:dyDescent="0.3">
      <c r="A764" s="96" t="s">
        <v>24</v>
      </c>
      <c r="B764" s="162">
        <v>936</v>
      </c>
      <c r="C764" s="163" t="s">
        <v>122</v>
      </c>
      <c r="D764" s="174" t="s">
        <v>262</v>
      </c>
      <c r="E764" s="11" t="s">
        <v>837</v>
      </c>
      <c r="F764" s="138" t="s">
        <v>51</v>
      </c>
      <c r="G764" s="74">
        <f>G765+G770+G783+G785</f>
        <v>0</v>
      </c>
      <c r="H764" s="74">
        <f>H765+H770+H783+H785</f>
        <v>0</v>
      </c>
      <c r="I764" s="102"/>
    </row>
    <row r="765" spans="1:39" ht="21.75" hidden="1" customHeight="1" x14ac:dyDescent="0.3">
      <c r="A765" s="124" t="s">
        <v>63</v>
      </c>
      <c r="B765" s="122">
        <v>936</v>
      </c>
      <c r="C765" s="91" t="s">
        <v>122</v>
      </c>
      <c r="D765" s="105" t="s">
        <v>262</v>
      </c>
      <c r="E765" s="10" t="s">
        <v>453</v>
      </c>
      <c r="F765" s="91" t="s">
        <v>51</v>
      </c>
      <c r="G765" s="74">
        <f>G766</f>
        <v>0</v>
      </c>
      <c r="H765" s="74">
        <f>H766</f>
        <v>0</v>
      </c>
      <c r="I765" s="102"/>
    </row>
    <row r="766" spans="1:39" hidden="1" x14ac:dyDescent="0.3">
      <c r="A766" s="124" t="s">
        <v>223</v>
      </c>
      <c r="B766" s="122">
        <v>936</v>
      </c>
      <c r="C766" s="91" t="s">
        <v>122</v>
      </c>
      <c r="D766" s="105" t="s">
        <v>262</v>
      </c>
      <c r="E766" s="10" t="s">
        <v>455</v>
      </c>
      <c r="F766" s="91" t="s">
        <v>51</v>
      </c>
      <c r="G766" s="74">
        <f>G767+G768</f>
        <v>0</v>
      </c>
      <c r="H766" s="74">
        <f>H767+H768</f>
        <v>0</v>
      </c>
      <c r="I766" s="102"/>
    </row>
    <row r="767" spans="1:39" ht="37.5" hidden="1" x14ac:dyDescent="0.3">
      <c r="A767" s="124" t="s">
        <v>433</v>
      </c>
      <c r="B767" s="122">
        <v>936</v>
      </c>
      <c r="C767" s="91" t="s">
        <v>122</v>
      </c>
      <c r="D767" s="105" t="s">
        <v>262</v>
      </c>
      <c r="E767" s="10" t="s">
        <v>455</v>
      </c>
      <c r="F767" s="91" t="s">
        <v>60</v>
      </c>
      <c r="G767" s="74">
        <v>0</v>
      </c>
      <c r="H767" s="74">
        <v>0</v>
      </c>
      <c r="I767" s="102"/>
      <c r="S767" s="100">
        <v>160</v>
      </c>
      <c r="X767" s="100">
        <v>-40</v>
      </c>
      <c r="AB767" s="100">
        <v>70</v>
      </c>
      <c r="AI767" s="100">
        <v>90</v>
      </c>
      <c r="AL767" s="102">
        <v>0</v>
      </c>
      <c r="AM767" s="102">
        <v>0</v>
      </c>
    </row>
    <row r="768" spans="1:39" hidden="1" x14ac:dyDescent="0.3">
      <c r="A768" s="124" t="s">
        <v>314</v>
      </c>
      <c r="B768" s="122">
        <v>936</v>
      </c>
      <c r="C768" s="91" t="s">
        <v>537</v>
      </c>
      <c r="D768" s="105" t="s">
        <v>124</v>
      </c>
      <c r="E768" s="10" t="s">
        <v>538</v>
      </c>
      <c r="F768" s="91" t="s">
        <v>51</v>
      </c>
      <c r="G768" s="144"/>
      <c r="H768" s="144"/>
      <c r="I768" s="102"/>
    </row>
    <row r="769" spans="1:56" hidden="1" x14ac:dyDescent="0.3">
      <c r="A769" s="124"/>
      <c r="B769" s="122"/>
      <c r="C769" s="91"/>
      <c r="D769" s="105"/>
      <c r="E769" s="10"/>
      <c r="F769" s="91"/>
      <c r="G769" s="74"/>
      <c r="H769" s="74"/>
      <c r="I769" s="102"/>
    </row>
    <row r="770" spans="1:56" hidden="1" x14ac:dyDescent="0.3">
      <c r="A770" s="124" t="s">
        <v>536</v>
      </c>
      <c r="B770" s="122">
        <v>936</v>
      </c>
      <c r="C770" s="91" t="s">
        <v>122</v>
      </c>
      <c r="D770" s="105" t="s">
        <v>262</v>
      </c>
      <c r="E770" s="10" t="s">
        <v>802</v>
      </c>
      <c r="F770" s="91" t="s">
        <v>51</v>
      </c>
      <c r="G770" s="144">
        <f>G771</f>
        <v>0</v>
      </c>
      <c r="H770" s="144">
        <f>H771</f>
        <v>0</v>
      </c>
      <c r="I770" s="102"/>
    </row>
    <row r="771" spans="1:56" ht="37.5" hidden="1" x14ac:dyDescent="0.3">
      <c r="A771" s="124" t="s">
        <v>433</v>
      </c>
      <c r="B771" s="122">
        <v>936</v>
      </c>
      <c r="C771" s="91" t="s">
        <v>122</v>
      </c>
      <c r="D771" s="105" t="s">
        <v>262</v>
      </c>
      <c r="E771" s="10" t="s">
        <v>802</v>
      </c>
      <c r="F771" s="91" t="s">
        <v>60</v>
      </c>
      <c r="G771" s="74">
        <v>0</v>
      </c>
      <c r="H771" s="74">
        <v>0</v>
      </c>
      <c r="I771" s="102"/>
      <c r="AE771" s="100">
        <v>-39.5</v>
      </c>
      <c r="AI771" s="100">
        <v>253.2</v>
      </c>
      <c r="AL771" s="102">
        <v>0</v>
      </c>
      <c r="AM771" s="102">
        <v>0</v>
      </c>
      <c r="AN771" s="100">
        <v>292.10000000000002</v>
      </c>
      <c r="AO771" s="103">
        <v>15.4</v>
      </c>
      <c r="AP771" s="100">
        <v>0</v>
      </c>
      <c r="AQ771" s="100">
        <v>0</v>
      </c>
    </row>
    <row r="772" spans="1:56" hidden="1" x14ac:dyDescent="0.3">
      <c r="A772" s="124" t="s">
        <v>417</v>
      </c>
      <c r="B772" s="122">
        <v>936</v>
      </c>
      <c r="C772" s="91" t="s">
        <v>122</v>
      </c>
      <c r="D772" s="91" t="s">
        <v>262</v>
      </c>
      <c r="E772" s="10" t="s">
        <v>803</v>
      </c>
      <c r="F772" s="91" t="s">
        <v>51</v>
      </c>
      <c r="G772" s="74">
        <f t="shared" ref="G772:H774" si="32">G773</f>
        <v>0</v>
      </c>
      <c r="H772" s="74">
        <f t="shared" si="32"/>
        <v>0</v>
      </c>
      <c r="I772" s="102"/>
    </row>
    <row r="773" spans="1:56" ht="23.25" hidden="1" customHeight="1" x14ac:dyDescent="0.3">
      <c r="A773" s="124" t="s">
        <v>63</v>
      </c>
      <c r="B773" s="122">
        <v>936</v>
      </c>
      <c r="C773" s="91" t="s">
        <v>122</v>
      </c>
      <c r="D773" s="105" t="s">
        <v>262</v>
      </c>
      <c r="E773" s="10" t="s">
        <v>803</v>
      </c>
      <c r="F773" s="91" t="s">
        <v>51</v>
      </c>
      <c r="G773" s="74">
        <f t="shared" si="32"/>
        <v>0</v>
      </c>
      <c r="H773" s="74">
        <f t="shared" si="32"/>
        <v>0</v>
      </c>
      <c r="I773" s="102"/>
    </row>
    <row r="774" spans="1:56" hidden="1" x14ac:dyDescent="0.3">
      <c r="A774" s="96" t="s">
        <v>272</v>
      </c>
      <c r="B774" s="122">
        <v>936</v>
      </c>
      <c r="C774" s="91" t="s">
        <v>122</v>
      </c>
      <c r="D774" s="105" t="s">
        <v>262</v>
      </c>
      <c r="E774" s="91" t="s">
        <v>274</v>
      </c>
      <c r="F774" s="91" t="s">
        <v>51</v>
      </c>
      <c r="G774" s="74">
        <f t="shared" si="32"/>
        <v>0</v>
      </c>
      <c r="H774" s="74">
        <f t="shared" si="32"/>
        <v>0</v>
      </c>
      <c r="I774" s="102"/>
    </row>
    <row r="775" spans="1:56" ht="37.5" hidden="1" x14ac:dyDescent="0.3">
      <c r="A775" s="124" t="s">
        <v>433</v>
      </c>
      <c r="B775" s="122">
        <v>936</v>
      </c>
      <c r="C775" s="91" t="s">
        <v>122</v>
      </c>
      <c r="D775" s="105" t="s">
        <v>262</v>
      </c>
      <c r="E775" s="91" t="s">
        <v>274</v>
      </c>
      <c r="F775" s="91" t="s">
        <v>60</v>
      </c>
      <c r="G775" s="74">
        <v>0</v>
      </c>
      <c r="H775" s="74">
        <v>0</v>
      </c>
      <c r="I775" s="102"/>
      <c r="AB775" s="100">
        <v>-70</v>
      </c>
      <c r="AI775" s="100">
        <v>100</v>
      </c>
      <c r="AL775" s="102">
        <v>0</v>
      </c>
      <c r="AM775" s="102">
        <v>0</v>
      </c>
    </row>
    <row r="776" spans="1:56" ht="37.5" x14ac:dyDescent="0.3">
      <c r="A776" s="125" t="s">
        <v>275</v>
      </c>
      <c r="B776" s="122">
        <v>936</v>
      </c>
      <c r="C776" s="91" t="s">
        <v>122</v>
      </c>
      <c r="D776" s="105" t="s">
        <v>262</v>
      </c>
      <c r="E776" s="91" t="s">
        <v>276</v>
      </c>
      <c r="F776" s="91" t="s">
        <v>51</v>
      </c>
      <c r="G776" s="74">
        <f>G777</f>
        <v>240</v>
      </c>
      <c r="H776" s="74">
        <f>H777</f>
        <v>0</v>
      </c>
      <c r="I776" s="102"/>
    </row>
    <row r="777" spans="1:56" ht="37.5" x14ac:dyDescent="0.3">
      <c r="A777" s="124" t="s">
        <v>433</v>
      </c>
      <c r="B777" s="122">
        <v>936</v>
      </c>
      <c r="C777" s="91" t="s">
        <v>122</v>
      </c>
      <c r="D777" s="105" t="s">
        <v>262</v>
      </c>
      <c r="E777" s="91" t="s">
        <v>276</v>
      </c>
      <c r="F777" s="175">
        <v>200</v>
      </c>
      <c r="G777" s="74">
        <f>100+140</f>
        <v>240</v>
      </c>
      <c r="H777" s="74">
        <v>0</v>
      </c>
      <c r="I777" s="102"/>
      <c r="AI777" s="100">
        <v>0</v>
      </c>
      <c r="AL777" s="100"/>
      <c r="AM777" s="100"/>
    </row>
    <row r="778" spans="1:56" ht="75" hidden="1" x14ac:dyDescent="0.3">
      <c r="A778" s="124" t="s">
        <v>252</v>
      </c>
      <c r="B778" s="122">
        <v>936</v>
      </c>
      <c r="C778" s="91" t="s">
        <v>122</v>
      </c>
      <c r="D778" s="105" t="s">
        <v>262</v>
      </c>
      <c r="E778" s="91" t="s">
        <v>478</v>
      </c>
      <c r="F778" s="123" t="s">
        <v>51</v>
      </c>
      <c r="G778" s="74">
        <f>G779</f>
        <v>0</v>
      </c>
      <c r="H778" s="74">
        <f>H779</f>
        <v>0</v>
      </c>
      <c r="I778" s="102"/>
      <c r="AL778" s="100"/>
      <c r="AM778" s="100"/>
    </row>
    <row r="779" spans="1:56" ht="40.5" hidden="1" customHeight="1" x14ac:dyDescent="0.3">
      <c r="A779" s="124" t="s">
        <v>479</v>
      </c>
      <c r="B779" s="122">
        <v>936</v>
      </c>
      <c r="C779" s="91" t="s">
        <v>122</v>
      </c>
      <c r="D779" s="105" t="s">
        <v>262</v>
      </c>
      <c r="E779" s="91" t="s">
        <v>477</v>
      </c>
      <c r="F779" s="123" t="s">
        <v>51</v>
      </c>
      <c r="G779" s="74">
        <f>G780</f>
        <v>0</v>
      </c>
      <c r="H779" s="74">
        <f>H780</f>
        <v>0</v>
      </c>
      <c r="I779" s="102"/>
      <c r="AL779" s="100"/>
      <c r="AM779" s="100"/>
    </row>
    <row r="780" spans="1:56" ht="37.5" hidden="1" x14ac:dyDescent="0.3">
      <c r="A780" s="124" t="s">
        <v>433</v>
      </c>
      <c r="B780" s="122">
        <v>936</v>
      </c>
      <c r="C780" s="91" t="s">
        <v>122</v>
      </c>
      <c r="D780" s="105" t="s">
        <v>262</v>
      </c>
      <c r="E780" s="91" t="s">
        <v>477</v>
      </c>
      <c r="F780" s="175">
        <v>200</v>
      </c>
      <c r="G780" s="74">
        <v>0</v>
      </c>
      <c r="H780" s="74">
        <v>0</v>
      </c>
      <c r="I780" s="102"/>
      <c r="AL780" s="100"/>
      <c r="AM780" s="100"/>
    </row>
    <row r="781" spans="1:56" ht="39.75" hidden="1" customHeight="1" x14ac:dyDescent="0.3">
      <c r="A781" s="124" t="s">
        <v>480</v>
      </c>
      <c r="B781" s="122">
        <v>936</v>
      </c>
      <c r="C781" s="91" t="s">
        <v>122</v>
      </c>
      <c r="D781" s="105" t="s">
        <v>262</v>
      </c>
      <c r="E781" s="91" t="s">
        <v>481</v>
      </c>
      <c r="F781" s="123" t="s">
        <v>51</v>
      </c>
      <c r="G781" s="74">
        <f>G782</f>
        <v>0</v>
      </c>
      <c r="H781" s="74">
        <f>H782</f>
        <v>0</v>
      </c>
      <c r="I781" s="102"/>
      <c r="AL781" s="100"/>
      <c r="AM781" s="100"/>
    </row>
    <row r="782" spans="1:56" ht="37.5" hidden="1" x14ac:dyDescent="0.3">
      <c r="A782" s="124" t="s">
        <v>433</v>
      </c>
      <c r="B782" s="122">
        <v>936</v>
      </c>
      <c r="C782" s="91" t="s">
        <v>122</v>
      </c>
      <c r="D782" s="105" t="s">
        <v>262</v>
      </c>
      <c r="E782" s="91" t="s">
        <v>481</v>
      </c>
      <c r="F782" s="175">
        <v>200</v>
      </c>
      <c r="G782" s="74">
        <v>0</v>
      </c>
      <c r="H782" s="74">
        <v>0</v>
      </c>
      <c r="I782" s="102"/>
      <c r="AL782" s="100"/>
      <c r="AM782" s="100"/>
    </row>
    <row r="783" spans="1:56" hidden="1" x14ac:dyDescent="0.3">
      <c r="A783" s="124" t="s">
        <v>536</v>
      </c>
      <c r="B783" s="122">
        <v>936</v>
      </c>
      <c r="C783" s="91" t="s">
        <v>122</v>
      </c>
      <c r="D783" s="105" t="s">
        <v>262</v>
      </c>
      <c r="E783" s="10" t="s">
        <v>838</v>
      </c>
      <c r="F783" s="91" t="s">
        <v>51</v>
      </c>
      <c r="G783" s="74">
        <f>G784</f>
        <v>0</v>
      </c>
      <c r="H783" s="74">
        <f>H784</f>
        <v>0</v>
      </c>
      <c r="I783" s="102"/>
      <c r="AL783" s="100"/>
      <c r="AM783" s="100"/>
    </row>
    <row r="784" spans="1:56" ht="37.5" hidden="1" x14ac:dyDescent="0.3">
      <c r="A784" s="124" t="s">
        <v>433</v>
      </c>
      <c r="B784" s="122">
        <v>936</v>
      </c>
      <c r="C784" s="91" t="s">
        <v>122</v>
      </c>
      <c r="D784" s="105" t="s">
        <v>262</v>
      </c>
      <c r="E784" s="10" t="s">
        <v>838</v>
      </c>
      <c r="F784" s="91" t="s">
        <v>60</v>
      </c>
      <c r="G784" s="74">
        <v>0</v>
      </c>
      <c r="H784" s="74">
        <v>0</v>
      </c>
      <c r="I784" s="102"/>
      <c r="AL784" s="100"/>
      <c r="AM784" s="100"/>
      <c r="AT784" s="101">
        <v>31.4</v>
      </c>
      <c r="BC784" s="236">
        <v>1961.4</v>
      </c>
      <c r="BD784" s="237">
        <v>3400</v>
      </c>
    </row>
    <row r="785" spans="1:56" hidden="1" x14ac:dyDescent="0.3">
      <c r="A785" s="124" t="s">
        <v>536</v>
      </c>
      <c r="B785" s="122">
        <v>936</v>
      </c>
      <c r="C785" s="91" t="s">
        <v>122</v>
      </c>
      <c r="D785" s="105" t="s">
        <v>262</v>
      </c>
      <c r="E785" s="10" t="s">
        <v>839</v>
      </c>
      <c r="F785" s="91" t="s">
        <v>51</v>
      </c>
      <c r="G785" s="74">
        <f>G786</f>
        <v>0</v>
      </c>
      <c r="H785" s="74">
        <f>H786</f>
        <v>0</v>
      </c>
      <c r="I785" s="102"/>
      <c r="AL785" s="100"/>
      <c r="AM785" s="100"/>
    </row>
    <row r="786" spans="1:56" ht="37.5" hidden="1" x14ac:dyDescent="0.3">
      <c r="A786" s="124" t="s">
        <v>433</v>
      </c>
      <c r="B786" s="122">
        <v>936</v>
      </c>
      <c r="C786" s="91" t="s">
        <v>122</v>
      </c>
      <c r="D786" s="105" t="s">
        <v>262</v>
      </c>
      <c r="E786" s="10" t="s">
        <v>839</v>
      </c>
      <c r="F786" s="91" t="s">
        <v>60</v>
      </c>
      <c r="G786" s="74">
        <v>0</v>
      </c>
      <c r="H786" s="74">
        <v>0</v>
      </c>
      <c r="I786" s="102"/>
      <c r="AL786" s="100"/>
      <c r="AM786" s="100"/>
      <c r="AU786" s="101">
        <v>3073.6</v>
      </c>
      <c r="BC786" s="236">
        <v>653.79999999999995</v>
      </c>
      <c r="BD786" s="237">
        <v>600</v>
      </c>
    </row>
    <row r="787" spans="1:56" x14ac:dyDescent="0.3">
      <c r="A787" s="119" t="s">
        <v>277</v>
      </c>
      <c r="B787" s="118">
        <v>936</v>
      </c>
      <c r="C787" s="114" t="s">
        <v>211</v>
      </c>
      <c r="D787" s="114" t="s">
        <v>113</v>
      </c>
      <c r="E787" s="114" t="s">
        <v>50</v>
      </c>
      <c r="F787" s="114" t="s">
        <v>51</v>
      </c>
      <c r="G787" s="93">
        <f>G788+G810+G828+G916</f>
        <v>44181.95</v>
      </c>
      <c r="H787" s="93">
        <f>H788+H810+H828</f>
        <v>48667.3</v>
      </c>
      <c r="I787" s="102"/>
      <c r="AL787" s="100"/>
      <c r="AM787" s="100"/>
    </row>
    <row r="788" spans="1:56" hidden="1" x14ac:dyDescent="0.3">
      <c r="A788" s="119" t="s">
        <v>278</v>
      </c>
      <c r="B788" s="118">
        <v>936</v>
      </c>
      <c r="C788" s="114" t="s">
        <v>211</v>
      </c>
      <c r="D788" s="114" t="s">
        <v>116</v>
      </c>
      <c r="E788" s="114" t="s">
        <v>50</v>
      </c>
      <c r="F788" s="114" t="s">
        <v>51</v>
      </c>
      <c r="G788" s="93">
        <f>G794+G789+G801</f>
        <v>0</v>
      </c>
      <c r="H788" s="93">
        <f>H794+H789+H801</f>
        <v>0</v>
      </c>
      <c r="I788" s="102"/>
      <c r="AL788" s="100"/>
      <c r="AM788" s="100"/>
    </row>
    <row r="789" spans="1:56" ht="56.25" hidden="1" x14ac:dyDescent="0.3">
      <c r="A789" s="124" t="s">
        <v>0</v>
      </c>
      <c r="B789" s="122">
        <v>936</v>
      </c>
      <c r="C789" s="91" t="s">
        <v>211</v>
      </c>
      <c r="D789" s="91" t="s">
        <v>116</v>
      </c>
      <c r="E789" s="123" t="s">
        <v>93</v>
      </c>
      <c r="F789" s="91" t="s">
        <v>51</v>
      </c>
      <c r="G789" s="74">
        <f t="shared" ref="G789:H792" si="33">G790</f>
        <v>0</v>
      </c>
      <c r="H789" s="74">
        <f t="shared" si="33"/>
        <v>0</v>
      </c>
      <c r="I789" s="102"/>
      <c r="AL789" s="100"/>
      <c r="AM789" s="100"/>
    </row>
    <row r="790" spans="1:56" hidden="1" x14ac:dyDescent="0.3">
      <c r="A790" s="124" t="s">
        <v>417</v>
      </c>
      <c r="B790" s="122">
        <v>936</v>
      </c>
      <c r="C790" s="91" t="s">
        <v>211</v>
      </c>
      <c r="D790" s="91" t="s">
        <v>116</v>
      </c>
      <c r="E790" s="123" t="s">
        <v>458</v>
      </c>
      <c r="F790" s="91" t="s">
        <v>51</v>
      </c>
      <c r="G790" s="74">
        <f t="shared" si="33"/>
        <v>0</v>
      </c>
      <c r="H790" s="74">
        <f t="shared" si="33"/>
        <v>0</v>
      </c>
      <c r="I790" s="102"/>
      <c r="AL790" s="100"/>
      <c r="AM790" s="100"/>
    </row>
    <row r="791" spans="1:56" hidden="1" x14ac:dyDescent="0.3">
      <c r="A791" s="124" t="s">
        <v>63</v>
      </c>
      <c r="B791" s="122">
        <v>936</v>
      </c>
      <c r="C791" s="91" t="s">
        <v>211</v>
      </c>
      <c r="D791" s="91" t="s">
        <v>116</v>
      </c>
      <c r="E791" s="123" t="s">
        <v>510</v>
      </c>
      <c r="F791" s="91" t="s">
        <v>51</v>
      </c>
      <c r="G791" s="74">
        <f t="shared" si="33"/>
        <v>0</v>
      </c>
      <c r="H791" s="74">
        <f t="shared" si="33"/>
        <v>0</v>
      </c>
      <c r="I791" s="102"/>
      <c r="AL791" s="100"/>
      <c r="AM791" s="100"/>
    </row>
    <row r="792" spans="1:56" ht="56.25" hidden="1" x14ac:dyDescent="0.3">
      <c r="A792" s="124" t="s">
        <v>459</v>
      </c>
      <c r="B792" s="122">
        <v>936</v>
      </c>
      <c r="C792" s="91" t="s">
        <v>211</v>
      </c>
      <c r="D792" s="91" t="s">
        <v>116</v>
      </c>
      <c r="E792" s="123" t="s">
        <v>509</v>
      </c>
      <c r="F792" s="91" t="s">
        <v>51</v>
      </c>
      <c r="G792" s="74">
        <f t="shared" si="33"/>
        <v>0</v>
      </c>
      <c r="H792" s="74">
        <f t="shared" si="33"/>
        <v>0</v>
      </c>
      <c r="I792" s="102"/>
      <c r="AL792" s="100"/>
      <c r="AM792" s="100"/>
    </row>
    <row r="793" spans="1:56" ht="37.5" hidden="1" x14ac:dyDescent="0.3">
      <c r="A793" s="124" t="s">
        <v>433</v>
      </c>
      <c r="B793" s="122">
        <v>936</v>
      </c>
      <c r="C793" s="91" t="s">
        <v>211</v>
      </c>
      <c r="D793" s="91" t="s">
        <v>116</v>
      </c>
      <c r="E793" s="123" t="s">
        <v>509</v>
      </c>
      <c r="F793" s="91" t="s">
        <v>60</v>
      </c>
      <c r="G793" s="74">
        <v>0</v>
      </c>
      <c r="H793" s="74">
        <v>0</v>
      </c>
      <c r="I793" s="102"/>
      <c r="L793" s="100">
        <v>160</v>
      </c>
      <c r="R793" s="100">
        <f>-4-160</f>
        <v>-164</v>
      </c>
      <c r="S793" s="100">
        <v>4</v>
      </c>
      <c r="AI793" s="100">
        <v>0</v>
      </c>
      <c r="AL793" s="100"/>
      <c r="AM793" s="100"/>
    </row>
    <row r="794" spans="1:56" ht="42.75" hidden="1" customHeight="1" x14ac:dyDescent="0.3">
      <c r="A794" s="121" t="s">
        <v>162</v>
      </c>
      <c r="B794" s="122">
        <v>936</v>
      </c>
      <c r="C794" s="91" t="s">
        <v>211</v>
      </c>
      <c r="D794" s="91" t="s">
        <v>116</v>
      </c>
      <c r="E794" s="123" t="s">
        <v>100</v>
      </c>
      <c r="F794" s="91" t="s">
        <v>51</v>
      </c>
      <c r="G794" s="74">
        <f>G795</f>
        <v>0</v>
      </c>
      <c r="H794" s="74">
        <f>H795</f>
        <v>0</v>
      </c>
      <c r="I794" s="102"/>
      <c r="AL794" s="100"/>
      <c r="AM794" s="100"/>
    </row>
    <row r="795" spans="1:56" ht="56.25" hidden="1" x14ac:dyDescent="0.3">
      <c r="A795" s="121" t="s">
        <v>9</v>
      </c>
      <c r="B795" s="122">
        <v>936</v>
      </c>
      <c r="C795" s="91" t="s">
        <v>211</v>
      </c>
      <c r="D795" s="91" t="s">
        <v>116</v>
      </c>
      <c r="E795" s="123" t="s">
        <v>102</v>
      </c>
      <c r="F795" s="91" t="s">
        <v>51</v>
      </c>
      <c r="G795" s="74">
        <f>G796</f>
        <v>0</v>
      </c>
      <c r="H795" s="74">
        <f>H796</f>
        <v>0</v>
      </c>
      <c r="I795" s="102"/>
      <c r="AL795" s="100"/>
      <c r="AM795" s="100"/>
    </row>
    <row r="796" spans="1:56" hidden="1" x14ac:dyDescent="0.3">
      <c r="A796" s="124" t="s">
        <v>63</v>
      </c>
      <c r="B796" s="122">
        <v>936</v>
      </c>
      <c r="C796" s="91" t="s">
        <v>211</v>
      </c>
      <c r="D796" s="91" t="s">
        <v>116</v>
      </c>
      <c r="E796" s="91" t="s">
        <v>271</v>
      </c>
      <c r="F796" s="91" t="s">
        <v>51</v>
      </c>
      <c r="G796" s="74">
        <f>G799+G797</f>
        <v>0</v>
      </c>
      <c r="H796" s="74">
        <f>H799+H797</f>
        <v>0</v>
      </c>
      <c r="I796" s="102"/>
      <c r="AL796" s="100"/>
      <c r="AM796" s="100"/>
    </row>
    <row r="797" spans="1:56" ht="56.25" hidden="1" x14ac:dyDescent="0.3">
      <c r="A797" s="124" t="s">
        <v>279</v>
      </c>
      <c r="B797" s="122">
        <v>936</v>
      </c>
      <c r="C797" s="91" t="s">
        <v>211</v>
      </c>
      <c r="D797" s="91" t="s">
        <v>116</v>
      </c>
      <c r="E797" s="91" t="s">
        <v>280</v>
      </c>
      <c r="F797" s="91" t="s">
        <v>51</v>
      </c>
      <c r="G797" s="74">
        <f>G798</f>
        <v>0</v>
      </c>
      <c r="H797" s="74">
        <f>H798</f>
        <v>0</v>
      </c>
      <c r="I797" s="102"/>
    </row>
    <row r="798" spans="1:56" ht="37.5" hidden="1" x14ac:dyDescent="0.3">
      <c r="A798" s="124" t="s">
        <v>433</v>
      </c>
      <c r="B798" s="122">
        <v>936</v>
      </c>
      <c r="C798" s="91" t="s">
        <v>211</v>
      </c>
      <c r="D798" s="91" t="s">
        <v>116</v>
      </c>
      <c r="E798" s="91" t="s">
        <v>280</v>
      </c>
      <c r="F798" s="91" t="s">
        <v>60</v>
      </c>
      <c r="G798" s="74">
        <v>0</v>
      </c>
      <c r="H798" s="74">
        <v>0</v>
      </c>
      <c r="I798" s="102"/>
      <c r="K798" s="100">
        <v>1922</v>
      </c>
      <c r="L798" s="100">
        <f>-579.17+170.4</f>
        <v>-408.77</v>
      </c>
      <c r="R798" s="100">
        <v>100</v>
      </c>
      <c r="AA798" s="100">
        <v>720</v>
      </c>
      <c r="AC798" s="100">
        <v>370</v>
      </c>
      <c r="AF798" s="100">
        <v>250</v>
      </c>
      <c r="AI798" s="100">
        <v>730</v>
      </c>
      <c r="AL798" s="102">
        <v>0</v>
      </c>
      <c r="AM798" s="102">
        <v>0</v>
      </c>
    </row>
    <row r="799" spans="1:56" ht="93.75" hidden="1" x14ac:dyDescent="0.3">
      <c r="A799" s="124" t="s">
        <v>281</v>
      </c>
      <c r="B799" s="122">
        <v>936</v>
      </c>
      <c r="C799" s="91" t="s">
        <v>211</v>
      </c>
      <c r="D799" s="91" t="s">
        <v>116</v>
      </c>
      <c r="E799" s="91" t="s">
        <v>282</v>
      </c>
      <c r="F799" s="91" t="s">
        <v>51</v>
      </c>
      <c r="G799" s="74">
        <f>G800</f>
        <v>0</v>
      </c>
      <c r="H799" s="74">
        <f>H800</f>
        <v>0</v>
      </c>
      <c r="I799" s="102"/>
    </row>
    <row r="800" spans="1:56" ht="37.5" hidden="1" x14ac:dyDescent="0.3">
      <c r="A800" s="124" t="s">
        <v>59</v>
      </c>
      <c r="B800" s="122">
        <v>936</v>
      </c>
      <c r="C800" s="91" t="s">
        <v>211</v>
      </c>
      <c r="D800" s="91" t="s">
        <v>116</v>
      </c>
      <c r="E800" s="91" t="s">
        <v>282</v>
      </c>
      <c r="F800" s="91" t="s">
        <v>60</v>
      </c>
      <c r="G800" s="74">
        <v>0</v>
      </c>
      <c r="H800" s="74">
        <v>0</v>
      </c>
      <c r="I800" s="102"/>
    </row>
    <row r="801" spans="1:39" ht="85.5" hidden="1" customHeight="1" x14ac:dyDescent="0.3">
      <c r="A801" s="124" t="s">
        <v>717</v>
      </c>
      <c r="B801" s="122">
        <v>936</v>
      </c>
      <c r="C801" s="91" t="s">
        <v>211</v>
      </c>
      <c r="D801" s="91" t="s">
        <v>116</v>
      </c>
      <c r="E801" s="91" t="s">
        <v>718</v>
      </c>
      <c r="F801" s="91" t="s">
        <v>51</v>
      </c>
      <c r="G801" s="74">
        <f t="shared" ref="G801:H803" si="34">G802</f>
        <v>0</v>
      </c>
      <c r="H801" s="74">
        <f t="shared" si="34"/>
        <v>0</v>
      </c>
      <c r="I801" s="102"/>
    </row>
    <row r="802" spans="1:39" hidden="1" x14ac:dyDescent="0.3">
      <c r="A802" s="130" t="s">
        <v>84</v>
      </c>
      <c r="B802" s="122">
        <v>936</v>
      </c>
      <c r="C802" s="91" t="s">
        <v>211</v>
      </c>
      <c r="D802" s="91" t="s">
        <v>116</v>
      </c>
      <c r="E802" s="91" t="s">
        <v>719</v>
      </c>
      <c r="F802" s="91" t="s">
        <v>51</v>
      </c>
      <c r="G802" s="74">
        <f t="shared" si="34"/>
        <v>0</v>
      </c>
      <c r="H802" s="74">
        <f t="shared" si="34"/>
        <v>0</v>
      </c>
      <c r="I802" s="102"/>
    </row>
    <row r="803" spans="1:39" ht="37.5" hidden="1" x14ac:dyDescent="0.3">
      <c r="A803" s="135" t="s">
        <v>353</v>
      </c>
      <c r="B803" s="122">
        <v>936</v>
      </c>
      <c r="C803" s="91" t="s">
        <v>211</v>
      </c>
      <c r="D803" s="91" t="s">
        <v>116</v>
      </c>
      <c r="E803" s="91" t="s">
        <v>720</v>
      </c>
      <c r="F803" s="91" t="s">
        <v>51</v>
      </c>
      <c r="G803" s="74">
        <f t="shared" si="34"/>
        <v>0</v>
      </c>
      <c r="H803" s="74">
        <f t="shared" si="34"/>
        <v>0</v>
      </c>
      <c r="I803" s="102"/>
    </row>
    <row r="804" spans="1:39" ht="56.25" hidden="1" x14ac:dyDescent="0.3">
      <c r="A804" s="135" t="s">
        <v>721</v>
      </c>
      <c r="B804" s="122">
        <v>936</v>
      </c>
      <c r="C804" s="91" t="s">
        <v>211</v>
      </c>
      <c r="D804" s="91" t="s">
        <v>116</v>
      </c>
      <c r="E804" s="91" t="s">
        <v>722</v>
      </c>
      <c r="F804" s="91" t="s">
        <v>51</v>
      </c>
      <c r="G804" s="74">
        <f>G805+G807</f>
        <v>0</v>
      </c>
      <c r="H804" s="74">
        <f>H805+H807</f>
        <v>0</v>
      </c>
      <c r="I804" s="102"/>
    </row>
    <row r="805" spans="1:39" ht="75" hidden="1" x14ac:dyDescent="0.3">
      <c r="A805" s="135" t="s">
        <v>724</v>
      </c>
      <c r="B805" s="122">
        <v>936</v>
      </c>
      <c r="C805" s="91" t="s">
        <v>211</v>
      </c>
      <c r="D805" s="91" t="s">
        <v>116</v>
      </c>
      <c r="E805" s="176" t="s">
        <v>723</v>
      </c>
      <c r="F805" s="91" t="s">
        <v>51</v>
      </c>
      <c r="G805" s="74">
        <f>G806</f>
        <v>0</v>
      </c>
      <c r="H805" s="74">
        <f>H806</f>
        <v>0</v>
      </c>
      <c r="I805" s="102"/>
    </row>
    <row r="806" spans="1:39" ht="56.25" hidden="1" x14ac:dyDescent="0.3">
      <c r="A806" s="124" t="s">
        <v>293</v>
      </c>
      <c r="B806" s="122">
        <v>936</v>
      </c>
      <c r="C806" s="91" t="s">
        <v>211</v>
      </c>
      <c r="D806" s="91" t="s">
        <v>116</v>
      </c>
      <c r="E806" s="176" t="s">
        <v>723</v>
      </c>
      <c r="F806" s="91" t="s">
        <v>294</v>
      </c>
      <c r="G806" s="74">
        <v>0</v>
      </c>
      <c r="H806" s="74">
        <v>0</v>
      </c>
      <c r="I806" s="102"/>
      <c r="AI806" s="100">
        <v>0</v>
      </c>
    </row>
    <row r="807" spans="1:39" ht="56.25" hidden="1" x14ac:dyDescent="0.3">
      <c r="A807" s="135" t="s">
        <v>726</v>
      </c>
      <c r="B807" s="122">
        <v>936</v>
      </c>
      <c r="C807" s="91" t="s">
        <v>211</v>
      </c>
      <c r="D807" s="91" t="s">
        <v>116</v>
      </c>
      <c r="E807" s="176" t="s">
        <v>725</v>
      </c>
      <c r="F807" s="91" t="s">
        <v>51</v>
      </c>
      <c r="G807" s="74">
        <f>G808</f>
        <v>0</v>
      </c>
      <c r="H807" s="74">
        <f>H808</f>
        <v>0</v>
      </c>
      <c r="I807" s="102"/>
    </row>
    <row r="808" spans="1:39" ht="56.25" hidden="1" x14ac:dyDescent="0.3">
      <c r="A808" s="124" t="s">
        <v>293</v>
      </c>
      <c r="B808" s="122">
        <v>936</v>
      </c>
      <c r="C808" s="91" t="s">
        <v>211</v>
      </c>
      <c r="D808" s="91" t="s">
        <v>116</v>
      </c>
      <c r="E808" s="176" t="s">
        <v>725</v>
      </c>
      <c r="F808" s="91" t="s">
        <v>294</v>
      </c>
      <c r="G808" s="74">
        <v>0</v>
      </c>
      <c r="H808" s="74">
        <v>0</v>
      </c>
      <c r="I808" s="102"/>
      <c r="AI808" s="100">
        <v>0</v>
      </c>
    </row>
    <row r="809" spans="1:39" hidden="1" x14ac:dyDescent="0.3">
      <c r="A809" s="124"/>
      <c r="B809" s="122"/>
      <c r="C809" s="91"/>
      <c r="D809" s="91"/>
      <c r="E809" s="176"/>
      <c r="F809" s="91"/>
      <c r="G809" s="74"/>
      <c r="H809" s="74"/>
      <c r="I809" s="102"/>
    </row>
    <row r="810" spans="1:39" x14ac:dyDescent="0.3">
      <c r="A810" s="119" t="s">
        <v>283</v>
      </c>
      <c r="B810" s="118">
        <v>936</v>
      </c>
      <c r="C810" s="114" t="s">
        <v>211</v>
      </c>
      <c r="D810" s="114" t="s">
        <v>117</v>
      </c>
      <c r="E810" s="118" t="s">
        <v>50</v>
      </c>
      <c r="F810" s="114" t="s">
        <v>51</v>
      </c>
      <c r="G810" s="93">
        <f>G811+G825</f>
        <v>530</v>
      </c>
      <c r="H810" s="93">
        <f>H811+H825</f>
        <v>200</v>
      </c>
      <c r="I810" s="102"/>
    </row>
    <row r="811" spans="1:39" ht="41.25" customHeight="1" x14ac:dyDescent="0.3">
      <c r="A811" s="121" t="s">
        <v>162</v>
      </c>
      <c r="B811" s="122">
        <v>936</v>
      </c>
      <c r="C811" s="91" t="s">
        <v>211</v>
      </c>
      <c r="D811" s="91" t="s">
        <v>117</v>
      </c>
      <c r="E811" s="123" t="s">
        <v>100</v>
      </c>
      <c r="F811" s="91" t="s">
        <v>51</v>
      </c>
      <c r="G811" s="74">
        <f>G818+G812</f>
        <v>530</v>
      </c>
      <c r="H811" s="74">
        <f>H812+H816+H823</f>
        <v>200</v>
      </c>
      <c r="I811" s="102"/>
    </row>
    <row r="812" spans="1:39" ht="56.25" x14ac:dyDescent="0.3">
      <c r="A812" s="121" t="s">
        <v>9</v>
      </c>
      <c r="B812" s="122">
        <v>936</v>
      </c>
      <c r="C812" s="91" t="s">
        <v>211</v>
      </c>
      <c r="D812" s="91" t="s">
        <v>117</v>
      </c>
      <c r="E812" s="123" t="s">
        <v>102</v>
      </c>
      <c r="F812" s="91" t="s">
        <v>51</v>
      </c>
      <c r="G812" s="74">
        <f t="shared" ref="G812:H814" si="35">G813</f>
        <v>530</v>
      </c>
      <c r="H812" s="74">
        <f t="shared" si="35"/>
        <v>200</v>
      </c>
      <c r="I812" s="102"/>
    </row>
    <row r="813" spans="1:39" x14ac:dyDescent="0.3">
      <c r="A813" s="124" t="s">
        <v>63</v>
      </c>
      <c r="B813" s="122">
        <v>936</v>
      </c>
      <c r="C813" s="91" t="s">
        <v>211</v>
      </c>
      <c r="D813" s="91" t="s">
        <v>117</v>
      </c>
      <c r="E813" s="91" t="s">
        <v>271</v>
      </c>
      <c r="F813" s="91" t="s">
        <v>51</v>
      </c>
      <c r="G813" s="74">
        <f t="shared" si="35"/>
        <v>530</v>
      </c>
      <c r="H813" s="74">
        <f t="shared" si="35"/>
        <v>200</v>
      </c>
      <c r="I813" s="102"/>
    </row>
    <row r="814" spans="1:39" ht="87" customHeight="1" x14ac:dyDescent="0.3">
      <c r="A814" s="124" t="s">
        <v>851</v>
      </c>
      <c r="B814" s="122">
        <v>936</v>
      </c>
      <c r="C814" s="91" t="s">
        <v>211</v>
      </c>
      <c r="D814" s="91" t="s">
        <v>117</v>
      </c>
      <c r="E814" s="91" t="s">
        <v>850</v>
      </c>
      <c r="F814" s="91" t="s">
        <v>51</v>
      </c>
      <c r="G814" s="74">
        <f t="shared" si="35"/>
        <v>530</v>
      </c>
      <c r="H814" s="74">
        <f t="shared" si="35"/>
        <v>200</v>
      </c>
      <c r="I814" s="102"/>
    </row>
    <row r="815" spans="1:39" ht="37.5" x14ac:dyDescent="0.3">
      <c r="A815" s="124" t="s">
        <v>59</v>
      </c>
      <c r="B815" s="122">
        <v>936</v>
      </c>
      <c r="C815" s="91" t="s">
        <v>211</v>
      </c>
      <c r="D815" s="91" t="s">
        <v>117</v>
      </c>
      <c r="E815" s="91" t="s">
        <v>850</v>
      </c>
      <c r="F815" s="91" t="s">
        <v>60</v>
      </c>
      <c r="G815" s="74">
        <f>200+330</f>
        <v>530</v>
      </c>
      <c r="H815" s="74">
        <v>200</v>
      </c>
      <c r="I815" s="102"/>
      <c r="AC815" s="100">
        <v>73.156679999999994</v>
      </c>
      <c r="AI815" s="100">
        <v>231.8</v>
      </c>
      <c r="AL815" s="102">
        <v>0</v>
      </c>
      <c r="AM815" s="102">
        <v>0</v>
      </c>
    </row>
    <row r="816" spans="1:39" ht="37.5" hidden="1" x14ac:dyDescent="0.3">
      <c r="A816" s="125" t="s">
        <v>10</v>
      </c>
      <c r="B816" s="122">
        <v>936</v>
      </c>
      <c r="C816" s="91" t="s">
        <v>211</v>
      </c>
      <c r="D816" s="91" t="s">
        <v>117</v>
      </c>
      <c r="E816" s="123" t="s">
        <v>28</v>
      </c>
      <c r="F816" s="91" t="s">
        <v>51</v>
      </c>
      <c r="G816" s="74">
        <f>G817</f>
        <v>0</v>
      </c>
      <c r="H816" s="74">
        <f>H817</f>
        <v>0</v>
      </c>
      <c r="I816" s="102"/>
    </row>
    <row r="817" spans="1:58" hidden="1" x14ac:dyDescent="0.3">
      <c r="A817" s="124" t="s">
        <v>63</v>
      </c>
      <c r="B817" s="122">
        <v>936</v>
      </c>
      <c r="C817" s="91" t="s">
        <v>211</v>
      </c>
      <c r="D817" s="105" t="s">
        <v>117</v>
      </c>
      <c r="E817" s="91" t="s">
        <v>285</v>
      </c>
      <c r="F817" s="91" t="s">
        <v>51</v>
      </c>
      <c r="G817" s="74">
        <f>G818+G820</f>
        <v>0</v>
      </c>
      <c r="H817" s="74">
        <f>H818+H820</f>
        <v>0</v>
      </c>
      <c r="I817" s="102"/>
    </row>
    <row r="818" spans="1:58" ht="56.25" hidden="1" x14ac:dyDescent="0.3">
      <c r="A818" s="124" t="s">
        <v>284</v>
      </c>
      <c r="B818" s="122">
        <v>936</v>
      </c>
      <c r="C818" s="91" t="s">
        <v>211</v>
      </c>
      <c r="D818" s="105" t="s">
        <v>117</v>
      </c>
      <c r="E818" s="91" t="s">
        <v>286</v>
      </c>
      <c r="F818" s="91" t="s">
        <v>51</v>
      </c>
      <c r="G818" s="74">
        <f>G819</f>
        <v>0</v>
      </c>
      <c r="H818" s="74">
        <f>H819</f>
        <v>0</v>
      </c>
      <c r="I818" s="102"/>
    </row>
    <row r="819" spans="1:58" ht="37.5" hidden="1" x14ac:dyDescent="0.3">
      <c r="A819" s="124" t="s">
        <v>433</v>
      </c>
      <c r="B819" s="122">
        <v>936</v>
      </c>
      <c r="C819" s="91" t="s">
        <v>211</v>
      </c>
      <c r="D819" s="105" t="s">
        <v>117</v>
      </c>
      <c r="E819" s="91" t="s">
        <v>286</v>
      </c>
      <c r="F819" s="91" t="s">
        <v>60</v>
      </c>
      <c r="G819" s="74">
        <v>0</v>
      </c>
      <c r="H819" s="74">
        <v>0</v>
      </c>
      <c r="I819" s="102"/>
      <c r="R819" s="100">
        <v>285</v>
      </c>
      <c r="S819" s="100">
        <v>95</v>
      </c>
      <c r="X819" s="100">
        <v>95</v>
      </c>
      <c r="AA819" s="100">
        <v>95</v>
      </c>
      <c r="AC819" s="100">
        <v>95</v>
      </c>
      <c r="AF819" s="100">
        <v>190</v>
      </c>
      <c r="AI819" s="100">
        <v>380</v>
      </c>
      <c r="AL819" s="102">
        <v>0</v>
      </c>
      <c r="AM819" s="102">
        <v>0</v>
      </c>
    </row>
    <row r="820" spans="1:58" hidden="1" x14ac:dyDescent="0.3">
      <c r="A820" s="124" t="s">
        <v>292</v>
      </c>
      <c r="B820" s="122">
        <v>936</v>
      </c>
      <c r="C820" s="91" t="s">
        <v>211</v>
      </c>
      <c r="D820" s="105" t="s">
        <v>117</v>
      </c>
      <c r="E820" s="91" t="s">
        <v>295</v>
      </c>
      <c r="F820" s="91" t="s">
        <v>51</v>
      </c>
      <c r="G820" s="74">
        <f>G821</f>
        <v>0</v>
      </c>
      <c r="H820" s="74">
        <f>H821</f>
        <v>0</v>
      </c>
      <c r="I820" s="102"/>
    </row>
    <row r="821" spans="1:58" ht="37.5" hidden="1" x14ac:dyDescent="0.3">
      <c r="A821" s="124" t="s">
        <v>433</v>
      </c>
      <c r="B821" s="122">
        <v>936</v>
      </c>
      <c r="C821" s="91" t="s">
        <v>211</v>
      </c>
      <c r="D821" s="105" t="s">
        <v>117</v>
      </c>
      <c r="E821" s="91" t="s">
        <v>295</v>
      </c>
      <c r="F821" s="91" t="s">
        <v>60</v>
      </c>
      <c r="G821" s="74">
        <v>0</v>
      </c>
      <c r="H821" s="74">
        <v>0</v>
      </c>
      <c r="I821" s="102"/>
      <c r="L821" s="100">
        <v>400</v>
      </c>
      <c r="U821" s="100">
        <v>110</v>
      </c>
      <c r="AA821" s="100">
        <v>115</v>
      </c>
      <c r="AB821" s="100">
        <v>-115</v>
      </c>
      <c r="AI821" s="100">
        <v>0</v>
      </c>
    </row>
    <row r="822" spans="1:58" hidden="1" x14ac:dyDescent="0.3">
      <c r="A822" s="124" t="s">
        <v>417</v>
      </c>
      <c r="B822" s="127">
        <v>936</v>
      </c>
      <c r="C822" s="128" t="s">
        <v>211</v>
      </c>
      <c r="D822" s="152" t="s">
        <v>117</v>
      </c>
      <c r="E822" s="91" t="s">
        <v>429</v>
      </c>
      <c r="F822" s="91" t="s">
        <v>51</v>
      </c>
      <c r="G822" s="74">
        <f>G823</f>
        <v>0</v>
      </c>
      <c r="H822" s="74">
        <f>H823</f>
        <v>0</v>
      </c>
      <c r="I822" s="102"/>
    </row>
    <row r="823" spans="1:58" ht="37.5" hidden="1" x14ac:dyDescent="0.3">
      <c r="A823" s="130" t="s">
        <v>622</v>
      </c>
      <c r="B823" s="127">
        <v>936</v>
      </c>
      <c r="C823" s="128" t="s">
        <v>211</v>
      </c>
      <c r="D823" s="152" t="s">
        <v>117</v>
      </c>
      <c r="E823" s="128" t="s">
        <v>623</v>
      </c>
      <c r="F823" s="128" t="s">
        <v>51</v>
      </c>
      <c r="G823" s="74">
        <f>G824</f>
        <v>0</v>
      </c>
      <c r="H823" s="74">
        <f>H824</f>
        <v>0</v>
      </c>
      <c r="I823" s="102"/>
    </row>
    <row r="824" spans="1:58" hidden="1" x14ac:dyDescent="0.3">
      <c r="A824" s="130" t="s">
        <v>61</v>
      </c>
      <c r="B824" s="127">
        <v>936</v>
      </c>
      <c r="C824" s="128" t="s">
        <v>211</v>
      </c>
      <c r="D824" s="152" t="s">
        <v>117</v>
      </c>
      <c r="E824" s="128" t="s">
        <v>623</v>
      </c>
      <c r="F824" s="128" t="s">
        <v>62</v>
      </c>
      <c r="G824" s="74">
        <v>0</v>
      </c>
      <c r="H824" s="74">
        <v>0</v>
      </c>
      <c r="I824" s="102"/>
      <c r="M824" s="100">
        <v>30000</v>
      </c>
      <c r="AI824" s="100">
        <v>0</v>
      </c>
    </row>
    <row r="825" spans="1:58" ht="56.25" x14ac:dyDescent="0.3">
      <c r="A825" s="121" t="s">
        <v>20</v>
      </c>
      <c r="B825" s="9">
        <v>936</v>
      </c>
      <c r="C825" s="10" t="s">
        <v>211</v>
      </c>
      <c r="D825" s="221" t="s">
        <v>117</v>
      </c>
      <c r="E825" s="11" t="s">
        <v>21</v>
      </c>
      <c r="F825" s="10" t="s">
        <v>51</v>
      </c>
      <c r="G825" s="74">
        <f>G826</f>
        <v>0</v>
      </c>
      <c r="H825" s="74">
        <f>H826</f>
        <v>0</v>
      </c>
      <c r="I825" s="102"/>
    </row>
    <row r="826" spans="1:58" ht="56.25" x14ac:dyDescent="0.3">
      <c r="A826" s="124" t="s">
        <v>893</v>
      </c>
      <c r="B826" s="9">
        <v>936</v>
      </c>
      <c r="C826" s="10" t="s">
        <v>211</v>
      </c>
      <c r="D826" s="221" t="s">
        <v>117</v>
      </c>
      <c r="E826" s="29" t="s">
        <v>892</v>
      </c>
      <c r="F826" s="29" t="s">
        <v>51</v>
      </c>
      <c r="G826" s="74">
        <f>G827</f>
        <v>0</v>
      </c>
      <c r="H826" s="74">
        <f>H827</f>
        <v>0</v>
      </c>
      <c r="I826" s="102"/>
    </row>
    <row r="827" spans="1:58" ht="37.5" x14ac:dyDescent="0.3">
      <c r="A827" s="124" t="s">
        <v>59</v>
      </c>
      <c r="B827" s="9">
        <v>936</v>
      </c>
      <c r="C827" s="10" t="s">
        <v>211</v>
      </c>
      <c r="D827" s="221" t="s">
        <v>117</v>
      </c>
      <c r="E827" s="29" t="s">
        <v>892</v>
      </c>
      <c r="F827" s="29" t="s">
        <v>60</v>
      </c>
      <c r="G827" s="74">
        <v>0</v>
      </c>
      <c r="H827" s="74">
        <v>0</v>
      </c>
      <c r="I827" s="102"/>
    </row>
    <row r="828" spans="1:58" x14ac:dyDescent="0.3">
      <c r="A828" s="119" t="s">
        <v>287</v>
      </c>
      <c r="B828" s="118">
        <v>936</v>
      </c>
      <c r="C828" s="114" t="s">
        <v>211</v>
      </c>
      <c r="D828" s="114" t="s">
        <v>118</v>
      </c>
      <c r="E828" s="118" t="s">
        <v>50</v>
      </c>
      <c r="F828" s="114" t="s">
        <v>51</v>
      </c>
      <c r="G828" s="93">
        <f>G846+G898+G841+G939</f>
        <v>43651.95</v>
      </c>
      <c r="H828" s="93">
        <f t="shared" ref="H828:BF828" si="36">H846+H898+H841+H939</f>
        <v>48467.3</v>
      </c>
      <c r="I828" s="93">
        <f t="shared" si="36"/>
        <v>0</v>
      </c>
      <c r="J828" s="93">
        <f t="shared" si="36"/>
        <v>0</v>
      </c>
      <c r="K828" s="93">
        <f t="shared" si="36"/>
        <v>0</v>
      </c>
      <c r="L828" s="93">
        <f t="shared" si="36"/>
        <v>0</v>
      </c>
      <c r="M828" s="93">
        <f t="shared" si="36"/>
        <v>0</v>
      </c>
      <c r="N828" s="93">
        <f t="shared" si="36"/>
        <v>0</v>
      </c>
      <c r="O828" s="93">
        <f t="shared" si="36"/>
        <v>0</v>
      </c>
      <c r="P828" s="93">
        <f t="shared" si="36"/>
        <v>0</v>
      </c>
      <c r="Q828" s="93">
        <f t="shared" si="36"/>
        <v>0</v>
      </c>
      <c r="R828" s="93">
        <f t="shared" si="36"/>
        <v>0</v>
      </c>
      <c r="S828" s="93">
        <f t="shared" si="36"/>
        <v>0</v>
      </c>
      <c r="T828" s="93">
        <f t="shared" si="36"/>
        <v>0</v>
      </c>
      <c r="U828" s="93">
        <f t="shared" si="36"/>
        <v>0</v>
      </c>
      <c r="V828" s="93">
        <f t="shared" si="36"/>
        <v>0</v>
      </c>
      <c r="W828" s="93">
        <f t="shared" si="36"/>
        <v>0</v>
      </c>
      <c r="X828" s="93">
        <f t="shared" si="36"/>
        <v>0</v>
      </c>
      <c r="Y828" s="93">
        <f t="shared" si="36"/>
        <v>0</v>
      </c>
      <c r="Z828" s="93">
        <f t="shared" si="36"/>
        <v>0</v>
      </c>
      <c r="AA828" s="93">
        <f t="shared" si="36"/>
        <v>0</v>
      </c>
      <c r="AB828" s="93">
        <f t="shared" si="36"/>
        <v>0</v>
      </c>
      <c r="AC828" s="93">
        <f t="shared" si="36"/>
        <v>0</v>
      </c>
      <c r="AD828" s="93">
        <f t="shared" si="36"/>
        <v>0</v>
      </c>
      <c r="AE828" s="93">
        <f t="shared" si="36"/>
        <v>0</v>
      </c>
      <c r="AF828" s="93">
        <f t="shared" si="36"/>
        <v>0</v>
      </c>
      <c r="AG828" s="93">
        <f t="shared" si="36"/>
        <v>0</v>
      </c>
      <c r="AH828" s="93">
        <f t="shared" si="36"/>
        <v>0</v>
      </c>
      <c r="AI828" s="93">
        <f t="shared" si="36"/>
        <v>0</v>
      </c>
      <c r="AJ828" s="93">
        <f t="shared" si="36"/>
        <v>0</v>
      </c>
      <c r="AK828" s="93">
        <f t="shared" si="36"/>
        <v>0</v>
      </c>
      <c r="AL828" s="93">
        <f t="shared" si="36"/>
        <v>0</v>
      </c>
      <c r="AM828" s="93">
        <f t="shared" si="36"/>
        <v>0</v>
      </c>
      <c r="AN828" s="93">
        <f t="shared" si="36"/>
        <v>0</v>
      </c>
      <c r="AO828" s="93">
        <f t="shared" si="36"/>
        <v>0</v>
      </c>
      <c r="AP828" s="93">
        <f t="shared" si="36"/>
        <v>0</v>
      </c>
      <c r="AQ828" s="93">
        <f t="shared" si="36"/>
        <v>0</v>
      </c>
      <c r="AR828" s="93">
        <f t="shared" si="36"/>
        <v>0</v>
      </c>
      <c r="AS828" s="93">
        <f t="shared" si="36"/>
        <v>0</v>
      </c>
      <c r="AT828" s="93">
        <f t="shared" si="36"/>
        <v>0</v>
      </c>
      <c r="AU828" s="93">
        <f t="shared" si="36"/>
        <v>0</v>
      </c>
      <c r="AV828" s="93">
        <f t="shared" si="36"/>
        <v>0</v>
      </c>
      <c r="AW828" s="93">
        <f t="shared" si="36"/>
        <v>0</v>
      </c>
      <c r="AX828" s="93">
        <f t="shared" si="36"/>
        <v>0</v>
      </c>
      <c r="AY828" s="93">
        <f t="shared" si="36"/>
        <v>0</v>
      </c>
      <c r="AZ828" s="93">
        <f t="shared" si="36"/>
        <v>0</v>
      </c>
      <c r="BA828" s="93">
        <f t="shared" si="36"/>
        <v>0</v>
      </c>
      <c r="BB828" s="93">
        <f t="shared" si="36"/>
        <v>0</v>
      </c>
      <c r="BC828" s="93">
        <f t="shared" si="36"/>
        <v>0</v>
      </c>
      <c r="BD828" s="93">
        <f t="shared" si="36"/>
        <v>0</v>
      </c>
      <c r="BE828" s="93">
        <f t="shared" si="36"/>
        <v>0</v>
      </c>
      <c r="BF828" s="93">
        <f t="shared" si="36"/>
        <v>0</v>
      </c>
    </row>
    <row r="829" spans="1:58" ht="47.25" hidden="1" customHeight="1" x14ac:dyDescent="0.3">
      <c r="A829" s="124" t="s">
        <v>38</v>
      </c>
      <c r="B829" s="122">
        <v>936</v>
      </c>
      <c r="C829" s="91" t="s">
        <v>211</v>
      </c>
      <c r="D829" s="105" t="s">
        <v>118</v>
      </c>
      <c r="E829" s="123" t="s">
        <v>25</v>
      </c>
      <c r="F829" s="91" t="s">
        <v>51</v>
      </c>
      <c r="G829" s="74">
        <f>G830</f>
        <v>0</v>
      </c>
      <c r="H829" s="74">
        <f>H830</f>
        <v>0</v>
      </c>
      <c r="I829" s="102"/>
    </row>
    <row r="830" spans="1:58" ht="37.5" hidden="1" x14ac:dyDescent="0.3">
      <c r="A830" s="121" t="s">
        <v>142</v>
      </c>
      <c r="B830" s="122">
        <v>936</v>
      </c>
      <c r="C830" s="91" t="s">
        <v>211</v>
      </c>
      <c r="D830" s="105" t="s">
        <v>118</v>
      </c>
      <c r="E830" s="123" t="s">
        <v>80</v>
      </c>
      <c r="F830" s="123" t="s">
        <v>51</v>
      </c>
      <c r="G830" s="74">
        <f>G834+G831</f>
        <v>0</v>
      </c>
      <c r="H830" s="74">
        <f>H834+H831</f>
        <v>0</v>
      </c>
      <c r="I830" s="102"/>
    </row>
    <row r="831" spans="1:58" hidden="1" x14ac:dyDescent="0.3">
      <c r="A831" s="124" t="s">
        <v>63</v>
      </c>
      <c r="B831" s="122">
        <v>936</v>
      </c>
      <c r="C831" s="91" t="s">
        <v>211</v>
      </c>
      <c r="D831" s="105" t="s">
        <v>118</v>
      </c>
      <c r="E831" s="123" t="s">
        <v>81</v>
      </c>
      <c r="F831" s="123" t="s">
        <v>51</v>
      </c>
      <c r="G831" s="74">
        <f>G832</f>
        <v>0</v>
      </c>
      <c r="H831" s="74">
        <f>H832</f>
        <v>0</v>
      </c>
      <c r="I831" s="102"/>
    </row>
    <row r="832" spans="1:58" ht="56.25" hidden="1" x14ac:dyDescent="0.3">
      <c r="A832" s="124" t="s">
        <v>476</v>
      </c>
      <c r="B832" s="122">
        <v>936</v>
      </c>
      <c r="C832" s="91" t="s">
        <v>211</v>
      </c>
      <c r="D832" s="105" t="s">
        <v>118</v>
      </c>
      <c r="E832" s="123" t="s">
        <v>475</v>
      </c>
      <c r="F832" s="123" t="s">
        <v>51</v>
      </c>
      <c r="G832" s="74">
        <f>G833</f>
        <v>0</v>
      </c>
      <c r="H832" s="74">
        <f>H833</f>
        <v>0</v>
      </c>
      <c r="I832" s="102"/>
    </row>
    <row r="833" spans="1:39" ht="37.5" hidden="1" x14ac:dyDescent="0.3">
      <c r="A833" s="124" t="s">
        <v>433</v>
      </c>
      <c r="B833" s="122">
        <v>936</v>
      </c>
      <c r="C833" s="91" t="s">
        <v>211</v>
      </c>
      <c r="D833" s="105" t="s">
        <v>118</v>
      </c>
      <c r="E833" s="123" t="s">
        <v>475</v>
      </c>
      <c r="F833" s="123" t="s">
        <v>60</v>
      </c>
      <c r="G833" s="74">
        <v>0</v>
      </c>
      <c r="H833" s="74">
        <v>0</v>
      </c>
      <c r="I833" s="102"/>
      <c r="AL833" s="100"/>
      <c r="AM833" s="100"/>
    </row>
    <row r="834" spans="1:39" ht="26.25" hidden="1" customHeight="1" x14ac:dyDescent="0.3">
      <c r="A834" s="124" t="s">
        <v>427</v>
      </c>
      <c r="B834" s="122">
        <v>936</v>
      </c>
      <c r="C834" s="91" t="s">
        <v>211</v>
      </c>
      <c r="D834" s="105" t="s">
        <v>118</v>
      </c>
      <c r="E834" s="123" t="s">
        <v>428</v>
      </c>
      <c r="F834" s="123" t="s">
        <v>51</v>
      </c>
      <c r="G834" s="74">
        <f>G835</f>
        <v>0</v>
      </c>
      <c r="H834" s="74">
        <f>H835</f>
        <v>0</v>
      </c>
      <c r="I834" s="102"/>
      <c r="AL834" s="100"/>
      <c r="AM834" s="100"/>
    </row>
    <row r="835" spans="1:39" ht="37.5" hidden="1" x14ac:dyDescent="0.3">
      <c r="A835" s="124" t="s">
        <v>433</v>
      </c>
      <c r="B835" s="122">
        <v>936</v>
      </c>
      <c r="C835" s="91" t="s">
        <v>211</v>
      </c>
      <c r="D835" s="105" t="s">
        <v>118</v>
      </c>
      <c r="E835" s="123" t="s">
        <v>428</v>
      </c>
      <c r="F835" s="91" t="s">
        <v>60</v>
      </c>
      <c r="G835" s="74">
        <v>0</v>
      </c>
      <c r="H835" s="74">
        <v>0</v>
      </c>
      <c r="I835" s="102"/>
      <c r="AL835" s="100"/>
      <c r="AM835" s="100"/>
    </row>
    <row r="836" spans="1:39" ht="56.25" hidden="1" customHeight="1" outlineLevel="1" x14ac:dyDescent="0.3">
      <c r="A836" s="121" t="s">
        <v>0</v>
      </c>
      <c r="B836" s="122">
        <v>936</v>
      </c>
      <c r="C836" s="91" t="s">
        <v>211</v>
      </c>
      <c r="D836" s="91" t="s">
        <v>118</v>
      </c>
      <c r="E836" s="123" t="s">
        <v>93</v>
      </c>
      <c r="F836" s="91" t="s">
        <v>51</v>
      </c>
      <c r="G836" s="74">
        <f t="shared" ref="G836:H839" si="37">G837</f>
        <v>0</v>
      </c>
      <c r="H836" s="74">
        <f t="shared" si="37"/>
        <v>0</v>
      </c>
      <c r="I836" s="102"/>
      <c r="AL836" s="100"/>
      <c r="AM836" s="100"/>
    </row>
    <row r="837" spans="1:39" ht="75" hidden="1" outlineLevel="1" x14ac:dyDescent="0.3">
      <c r="A837" s="121" t="s">
        <v>2</v>
      </c>
      <c r="B837" s="122">
        <v>936</v>
      </c>
      <c r="C837" s="91" t="s">
        <v>211</v>
      </c>
      <c r="D837" s="91" t="s">
        <v>118</v>
      </c>
      <c r="E837" s="123" t="s">
        <v>26</v>
      </c>
      <c r="F837" s="91" t="s">
        <v>51</v>
      </c>
      <c r="G837" s="74">
        <f t="shared" si="37"/>
        <v>0</v>
      </c>
      <c r="H837" s="74">
        <f t="shared" si="37"/>
        <v>0</v>
      </c>
      <c r="I837" s="102"/>
      <c r="AL837" s="100"/>
      <c r="AM837" s="100"/>
    </row>
    <row r="838" spans="1:39" hidden="1" outlineLevel="1" x14ac:dyDescent="0.3">
      <c r="A838" s="139" t="s">
        <v>63</v>
      </c>
      <c r="B838" s="140" t="s">
        <v>288</v>
      </c>
      <c r="C838" s="140" t="s">
        <v>211</v>
      </c>
      <c r="D838" s="174" t="s">
        <v>118</v>
      </c>
      <c r="E838" s="140" t="s">
        <v>290</v>
      </c>
      <c r="F838" s="140" t="s">
        <v>51</v>
      </c>
      <c r="G838" s="74">
        <f t="shared" si="37"/>
        <v>0</v>
      </c>
      <c r="H838" s="74">
        <f t="shared" si="37"/>
        <v>0</v>
      </c>
      <c r="I838" s="102"/>
      <c r="AL838" s="100"/>
      <c r="AM838" s="100"/>
    </row>
    <row r="839" spans="1:39" hidden="1" outlineLevel="1" x14ac:dyDescent="0.3">
      <c r="A839" s="139" t="s">
        <v>289</v>
      </c>
      <c r="B839" s="140" t="s">
        <v>288</v>
      </c>
      <c r="C839" s="140" t="s">
        <v>211</v>
      </c>
      <c r="D839" s="174" t="s">
        <v>118</v>
      </c>
      <c r="E839" s="140" t="s">
        <v>291</v>
      </c>
      <c r="F839" s="140" t="s">
        <v>51</v>
      </c>
      <c r="G839" s="74">
        <f t="shared" si="37"/>
        <v>0</v>
      </c>
      <c r="H839" s="74">
        <f t="shared" si="37"/>
        <v>0</v>
      </c>
      <c r="I839" s="102"/>
      <c r="AL839" s="100"/>
      <c r="AM839" s="100"/>
    </row>
    <row r="840" spans="1:39" ht="37.5" hidden="1" outlineLevel="1" x14ac:dyDescent="0.3">
      <c r="A840" s="124" t="s">
        <v>433</v>
      </c>
      <c r="B840" s="140" t="s">
        <v>288</v>
      </c>
      <c r="C840" s="140" t="s">
        <v>211</v>
      </c>
      <c r="D840" s="174" t="s">
        <v>118</v>
      </c>
      <c r="E840" s="140" t="s">
        <v>291</v>
      </c>
      <c r="F840" s="140" t="s">
        <v>60</v>
      </c>
      <c r="G840" s="74">
        <f>60-60</f>
        <v>0</v>
      </c>
      <c r="H840" s="74">
        <f>60-60</f>
        <v>0</v>
      </c>
      <c r="I840" s="102"/>
      <c r="AL840" s="100"/>
      <c r="AM840" s="100"/>
    </row>
    <row r="841" spans="1:39" ht="56.25" hidden="1" outlineLevel="1" x14ac:dyDescent="0.3">
      <c r="A841" s="121" t="s">
        <v>0</v>
      </c>
      <c r="B841" s="122">
        <v>905</v>
      </c>
      <c r="C841" s="91" t="s">
        <v>211</v>
      </c>
      <c r="D841" s="91" t="s">
        <v>118</v>
      </c>
      <c r="E841" s="123" t="s">
        <v>93</v>
      </c>
      <c r="F841" s="91" t="s">
        <v>51</v>
      </c>
      <c r="G841" s="74">
        <f t="shared" ref="G841:H844" si="38">G842</f>
        <v>0</v>
      </c>
      <c r="H841" s="74">
        <f t="shared" si="38"/>
        <v>0</v>
      </c>
      <c r="I841" s="102"/>
      <c r="AL841" s="100"/>
      <c r="AM841" s="100"/>
    </row>
    <row r="842" spans="1:39" ht="75" hidden="1" outlineLevel="1" x14ac:dyDescent="0.3">
      <c r="A842" s="121" t="s">
        <v>2</v>
      </c>
      <c r="B842" s="122">
        <v>905</v>
      </c>
      <c r="C842" s="91" t="s">
        <v>211</v>
      </c>
      <c r="D842" s="91" t="s">
        <v>118</v>
      </c>
      <c r="E842" s="123" t="s">
        <v>26</v>
      </c>
      <c r="F842" s="91" t="s">
        <v>51</v>
      </c>
      <c r="G842" s="74">
        <f t="shared" si="38"/>
        <v>0</v>
      </c>
      <c r="H842" s="74">
        <f t="shared" si="38"/>
        <v>0</v>
      </c>
      <c r="I842" s="102"/>
      <c r="AL842" s="100"/>
      <c r="AM842" s="100"/>
    </row>
    <row r="843" spans="1:39" hidden="1" outlineLevel="1" x14ac:dyDescent="0.3">
      <c r="A843" s="139" t="s">
        <v>63</v>
      </c>
      <c r="B843" s="140" t="s">
        <v>288</v>
      </c>
      <c r="C843" s="140" t="s">
        <v>211</v>
      </c>
      <c r="D843" s="174" t="s">
        <v>118</v>
      </c>
      <c r="E843" s="140" t="s">
        <v>290</v>
      </c>
      <c r="F843" s="140" t="s">
        <v>51</v>
      </c>
      <c r="G843" s="74">
        <f t="shared" si="38"/>
        <v>0</v>
      </c>
      <c r="H843" s="74">
        <f t="shared" si="38"/>
        <v>0</v>
      </c>
      <c r="I843" s="102"/>
      <c r="AL843" s="100"/>
      <c r="AM843" s="100"/>
    </row>
    <row r="844" spans="1:39" hidden="1" outlineLevel="1" x14ac:dyDescent="0.3">
      <c r="A844" s="139" t="s">
        <v>289</v>
      </c>
      <c r="B844" s="140" t="s">
        <v>288</v>
      </c>
      <c r="C844" s="140" t="s">
        <v>211</v>
      </c>
      <c r="D844" s="174" t="s">
        <v>118</v>
      </c>
      <c r="E844" s="140" t="s">
        <v>291</v>
      </c>
      <c r="F844" s="140" t="s">
        <v>51</v>
      </c>
      <c r="G844" s="74">
        <f t="shared" si="38"/>
        <v>0</v>
      </c>
      <c r="H844" s="74">
        <f t="shared" si="38"/>
        <v>0</v>
      </c>
      <c r="I844" s="102"/>
      <c r="AL844" s="100"/>
      <c r="AM844" s="100"/>
    </row>
    <row r="845" spans="1:39" ht="37.5" hidden="1" outlineLevel="1" x14ac:dyDescent="0.3">
      <c r="A845" s="124" t="s">
        <v>433</v>
      </c>
      <c r="B845" s="140" t="s">
        <v>288</v>
      </c>
      <c r="C845" s="140" t="s">
        <v>211</v>
      </c>
      <c r="D845" s="174" t="s">
        <v>118</v>
      </c>
      <c r="E845" s="140" t="s">
        <v>291</v>
      </c>
      <c r="F845" s="140" t="s">
        <v>60</v>
      </c>
      <c r="G845" s="74">
        <f>L845+R845</f>
        <v>0</v>
      </c>
      <c r="H845" s="74">
        <f>M845+S845</f>
        <v>0</v>
      </c>
      <c r="I845" s="102"/>
      <c r="L845" s="100">
        <v>120</v>
      </c>
      <c r="R845" s="100">
        <v>-120</v>
      </c>
      <c r="AL845" s="100"/>
      <c r="AM845" s="100"/>
    </row>
    <row r="846" spans="1:39" ht="42" customHeight="1" collapsed="1" x14ac:dyDescent="0.3">
      <c r="A846" s="121" t="s">
        <v>162</v>
      </c>
      <c r="B846" s="140" t="s">
        <v>288</v>
      </c>
      <c r="C846" s="140" t="s">
        <v>211</v>
      </c>
      <c r="D846" s="174" t="s">
        <v>118</v>
      </c>
      <c r="E846" s="123" t="s">
        <v>100</v>
      </c>
      <c r="F846" s="140" t="s">
        <v>51</v>
      </c>
      <c r="G846" s="74">
        <f>G847+G859</f>
        <v>27119.95</v>
      </c>
      <c r="H846" s="74">
        <f>H847+H859</f>
        <v>34935.300000000003</v>
      </c>
      <c r="I846" s="102"/>
      <c r="AL846" s="100"/>
      <c r="AM846" s="100"/>
    </row>
    <row r="847" spans="1:39" ht="37.5" x14ac:dyDescent="0.3">
      <c r="A847" s="125" t="s">
        <v>10</v>
      </c>
      <c r="B847" s="140" t="s">
        <v>288</v>
      </c>
      <c r="C847" s="140" t="s">
        <v>211</v>
      </c>
      <c r="D847" s="174" t="s">
        <v>118</v>
      </c>
      <c r="E847" s="123" t="s">
        <v>28</v>
      </c>
      <c r="F847" s="140" t="s">
        <v>51</v>
      </c>
      <c r="G847" s="74">
        <f>G848+G854+G857+G907+G909</f>
        <v>27119.95</v>
      </c>
      <c r="H847" s="74">
        <f>H848+H854+H857</f>
        <v>34935.300000000003</v>
      </c>
      <c r="I847" s="102"/>
      <c r="AL847" s="100"/>
      <c r="AM847" s="100"/>
    </row>
    <row r="848" spans="1:39" x14ac:dyDescent="0.3">
      <c r="A848" s="124" t="s">
        <v>63</v>
      </c>
      <c r="B848" s="122">
        <v>936</v>
      </c>
      <c r="C848" s="91" t="s">
        <v>211</v>
      </c>
      <c r="D848" s="91" t="s">
        <v>118</v>
      </c>
      <c r="E848" s="91" t="s">
        <v>285</v>
      </c>
      <c r="F848" s="91" t="s">
        <v>51</v>
      </c>
      <c r="G848" s="74">
        <f>G849+G851</f>
        <v>22363.149999999998</v>
      </c>
      <c r="H848" s="74">
        <f>H849</f>
        <v>27211.8</v>
      </c>
      <c r="I848" s="102"/>
      <c r="AL848" s="100"/>
      <c r="AM848" s="100"/>
    </row>
    <row r="849" spans="1:54" x14ac:dyDescent="0.3">
      <c r="A849" s="124" t="s">
        <v>292</v>
      </c>
      <c r="B849" s="122">
        <v>936</v>
      </c>
      <c r="C849" s="91" t="s">
        <v>211</v>
      </c>
      <c r="D849" s="91" t="s">
        <v>118</v>
      </c>
      <c r="E849" s="91" t="s">
        <v>295</v>
      </c>
      <c r="F849" s="91" t="s">
        <v>51</v>
      </c>
      <c r="G849" s="74">
        <f>G850+G860+G896+G897</f>
        <v>22363.149999999998</v>
      </c>
      <c r="H849" s="74">
        <f>H850+H860</f>
        <v>27211.8</v>
      </c>
      <c r="I849" s="102"/>
    </row>
    <row r="850" spans="1:54" ht="37.5" x14ac:dyDescent="0.3">
      <c r="A850" s="124" t="s">
        <v>433</v>
      </c>
      <c r="B850" s="122">
        <v>936</v>
      </c>
      <c r="C850" s="91" t="s">
        <v>211</v>
      </c>
      <c r="D850" s="91" t="s">
        <v>118</v>
      </c>
      <c r="E850" s="91" t="s">
        <v>295</v>
      </c>
      <c r="F850" s="91" t="s">
        <v>60</v>
      </c>
      <c r="G850" s="74">
        <f>19047.75+5727.8-34-2378.4</f>
        <v>22363.149999999998</v>
      </c>
      <c r="H850" s="74">
        <f>21517+5727.8-33</f>
        <v>27211.8</v>
      </c>
      <c r="I850" s="102"/>
      <c r="K850" s="100">
        <f>98+2500+500+1500+300+398</f>
        <v>5296</v>
      </c>
      <c r="L850" s="100">
        <v>0</v>
      </c>
      <c r="R850" s="100">
        <f>3970+75+2800+885.5+1250+252+500</f>
        <v>9732.5</v>
      </c>
      <c r="S850" s="100">
        <v>-483</v>
      </c>
      <c r="U850" s="100">
        <v>-215</v>
      </c>
      <c r="X850" s="100">
        <f>-29.67975+38.44</f>
        <v>8.7602499999999992</v>
      </c>
      <c r="AA850" s="100">
        <f>48.88+600</f>
        <v>648.88</v>
      </c>
      <c r="AF850" s="100">
        <v>97.76</v>
      </c>
      <c r="AI850" s="100">
        <f>6546.7+3749.5+800</f>
        <v>11096.2</v>
      </c>
      <c r="AL850" s="102">
        <f>7579-342.34</f>
        <v>7236.66</v>
      </c>
      <c r="AM850" s="102">
        <f>1938.87-392.4</f>
        <v>1546.4699999999998</v>
      </c>
      <c r="AR850" s="101">
        <f>6000+543.5</f>
        <v>6543.5</v>
      </c>
      <c r="AT850" s="101">
        <f>8000+743</f>
        <v>8743</v>
      </c>
      <c r="BA850" s="227">
        <f>1599.7+1916.4-9.42</f>
        <v>3506.6800000000003</v>
      </c>
      <c r="BB850" s="223">
        <f>1916.4-8.82</f>
        <v>1907.5800000000002</v>
      </c>
    </row>
    <row r="851" spans="1:54" ht="26.25" hidden="1" customHeight="1" x14ac:dyDescent="0.3">
      <c r="A851" s="177" t="s">
        <v>620</v>
      </c>
      <c r="B851" s="122">
        <v>936</v>
      </c>
      <c r="C851" s="91" t="s">
        <v>211</v>
      </c>
      <c r="D851" s="91" t="s">
        <v>118</v>
      </c>
      <c r="E851" s="91" t="s">
        <v>615</v>
      </c>
      <c r="F851" s="91" t="s">
        <v>51</v>
      </c>
      <c r="G851" s="74">
        <f>G852+G853</f>
        <v>0</v>
      </c>
      <c r="H851" s="74">
        <f>H852+H853</f>
        <v>-500</v>
      </c>
      <c r="I851" s="102"/>
    </row>
    <row r="852" spans="1:54" ht="37.5" hidden="1" x14ac:dyDescent="0.3">
      <c r="A852" s="124" t="s">
        <v>433</v>
      </c>
      <c r="B852" s="122">
        <v>936</v>
      </c>
      <c r="C852" s="91" t="s">
        <v>211</v>
      </c>
      <c r="D852" s="91" t="s">
        <v>118</v>
      </c>
      <c r="E852" s="91" t="s">
        <v>615</v>
      </c>
      <c r="F852" s="91" t="s">
        <v>60</v>
      </c>
      <c r="G852" s="74">
        <f>L852-500</f>
        <v>0</v>
      </c>
      <c r="H852" s="74">
        <f>M852-500</f>
        <v>-500</v>
      </c>
      <c r="I852" s="102"/>
      <c r="L852" s="100">
        <v>500</v>
      </c>
    </row>
    <row r="853" spans="1:54" ht="46.5" hidden="1" customHeight="1" x14ac:dyDescent="0.3">
      <c r="A853" s="124" t="s">
        <v>267</v>
      </c>
      <c r="B853" s="122">
        <v>936</v>
      </c>
      <c r="C853" s="91" t="s">
        <v>211</v>
      </c>
      <c r="D853" s="91" t="s">
        <v>118</v>
      </c>
      <c r="E853" s="91" t="s">
        <v>615</v>
      </c>
      <c r="F853" s="91" t="s">
        <v>264</v>
      </c>
      <c r="G853" s="74">
        <v>0</v>
      </c>
      <c r="H853" s="74">
        <v>0</v>
      </c>
      <c r="I853" s="102"/>
      <c r="AI853" s="100">
        <v>0</v>
      </c>
    </row>
    <row r="854" spans="1:54" ht="75" x14ac:dyDescent="0.3">
      <c r="A854" s="124" t="s">
        <v>252</v>
      </c>
      <c r="B854" s="122">
        <v>936</v>
      </c>
      <c r="C854" s="91" t="s">
        <v>211</v>
      </c>
      <c r="D854" s="91" t="s">
        <v>118</v>
      </c>
      <c r="E854" s="91" t="s">
        <v>867</v>
      </c>
      <c r="F854" s="91" t="s">
        <v>51</v>
      </c>
      <c r="G854" s="74">
        <f>G855</f>
        <v>0</v>
      </c>
      <c r="H854" s="74">
        <f>H855</f>
        <v>7335.5</v>
      </c>
      <c r="I854" s="102"/>
    </row>
    <row r="855" spans="1:54" ht="37.5" x14ac:dyDescent="0.3">
      <c r="A855" s="178" t="s">
        <v>687</v>
      </c>
      <c r="B855" s="122">
        <v>936</v>
      </c>
      <c r="C855" s="91" t="s">
        <v>211</v>
      </c>
      <c r="D855" s="91" t="s">
        <v>118</v>
      </c>
      <c r="E855" s="91" t="s">
        <v>866</v>
      </c>
      <c r="F855" s="91" t="s">
        <v>51</v>
      </c>
      <c r="G855" s="74">
        <f>G856</f>
        <v>0</v>
      </c>
      <c r="H855" s="74">
        <f>H856</f>
        <v>7335.5</v>
      </c>
      <c r="I855" s="102"/>
    </row>
    <row r="856" spans="1:54" ht="37.5" x14ac:dyDescent="0.3">
      <c r="A856" s="124" t="s">
        <v>433</v>
      </c>
      <c r="B856" s="122">
        <v>936</v>
      </c>
      <c r="C856" s="91" t="s">
        <v>211</v>
      </c>
      <c r="D856" s="91" t="s">
        <v>118</v>
      </c>
      <c r="E856" s="91" t="s">
        <v>866</v>
      </c>
      <c r="F856" s="91" t="s">
        <v>60</v>
      </c>
      <c r="G856" s="74">
        <v>0</v>
      </c>
      <c r="H856" s="74">
        <v>7335.5</v>
      </c>
      <c r="I856" s="102"/>
      <c r="AI856" s="100">
        <v>0</v>
      </c>
    </row>
    <row r="857" spans="1:54" ht="37.5" x14ac:dyDescent="0.3">
      <c r="A857" s="178" t="s">
        <v>709</v>
      </c>
      <c r="B857" s="122">
        <v>936</v>
      </c>
      <c r="C857" s="91" t="s">
        <v>211</v>
      </c>
      <c r="D857" s="91" t="s">
        <v>118</v>
      </c>
      <c r="E857" s="91" t="s">
        <v>868</v>
      </c>
      <c r="F857" s="91" t="s">
        <v>51</v>
      </c>
      <c r="G857" s="74">
        <f>G858</f>
        <v>0</v>
      </c>
      <c r="H857" s="74">
        <f>H858</f>
        <v>388</v>
      </c>
      <c r="I857" s="102"/>
    </row>
    <row r="858" spans="1:54" ht="37.5" x14ac:dyDescent="0.3">
      <c r="A858" s="124" t="s">
        <v>433</v>
      </c>
      <c r="B858" s="122">
        <v>936</v>
      </c>
      <c r="C858" s="91" t="s">
        <v>211</v>
      </c>
      <c r="D858" s="91" t="s">
        <v>118</v>
      </c>
      <c r="E858" s="91" t="s">
        <v>868</v>
      </c>
      <c r="F858" s="91" t="s">
        <v>60</v>
      </c>
      <c r="G858" s="74">
        <v>0</v>
      </c>
      <c r="H858" s="74">
        <v>388</v>
      </c>
      <c r="I858" s="102"/>
      <c r="X858" s="100">
        <v>35</v>
      </c>
      <c r="AI858" s="100">
        <v>0</v>
      </c>
    </row>
    <row r="859" spans="1:54" ht="56.25" hidden="1" x14ac:dyDescent="0.3">
      <c r="A859" s="121" t="s">
        <v>11</v>
      </c>
      <c r="B859" s="122">
        <v>936</v>
      </c>
      <c r="C859" s="91" t="s">
        <v>211</v>
      </c>
      <c r="D859" s="91" t="s">
        <v>118</v>
      </c>
      <c r="E859" s="123" t="s">
        <v>29</v>
      </c>
      <c r="F859" s="91" t="s">
        <v>51</v>
      </c>
      <c r="G859" s="74">
        <f>G866+G868+G885+G877+G879+G881+G883</f>
        <v>0</v>
      </c>
      <c r="H859" s="74">
        <f>H866+H868+H885+H877+H879+H881+H883</f>
        <v>0</v>
      </c>
      <c r="I859" s="102"/>
    </row>
    <row r="860" spans="1:54" hidden="1" x14ac:dyDescent="0.3">
      <c r="A860" s="124" t="s">
        <v>63</v>
      </c>
      <c r="B860" s="122">
        <v>936</v>
      </c>
      <c r="C860" s="91" t="s">
        <v>211</v>
      </c>
      <c r="D860" s="91" t="s">
        <v>118</v>
      </c>
      <c r="E860" s="91" t="s">
        <v>254</v>
      </c>
      <c r="F860" s="91" t="s">
        <v>51</v>
      </c>
      <c r="G860" s="74">
        <f>G861</f>
        <v>0</v>
      </c>
      <c r="H860" s="74">
        <f>H861</f>
        <v>0</v>
      </c>
      <c r="I860" s="102"/>
    </row>
    <row r="861" spans="1:54" ht="37.5" hidden="1" x14ac:dyDescent="0.3">
      <c r="A861" s="124" t="s">
        <v>65</v>
      </c>
      <c r="B861" s="122">
        <v>936</v>
      </c>
      <c r="C861" s="91" t="s">
        <v>211</v>
      </c>
      <c r="D861" s="91" t="s">
        <v>118</v>
      </c>
      <c r="E861" s="91" t="s">
        <v>255</v>
      </c>
      <c r="F861" s="91" t="s">
        <v>51</v>
      </c>
      <c r="G861" s="74">
        <f>G862</f>
        <v>0</v>
      </c>
      <c r="H861" s="74">
        <f>H862</f>
        <v>0</v>
      </c>
      <c r="I861" s="102"/>
    </row>
    <row r="862" spans="1:54" ht="37.5" hidden="1" x14ac:dyDescent="0.3">
      <c r="A862" s="124" t="s">
        <v>59</v>
      </c>
      <c r="B862" s="122">
        <v>936</v>
      </c>
      <c r="C862" s="91" t="s">
        <v>211</v>
      </c>
      <c r="D862" s="91" t="s">
        <v>118</v>
      </c>
      <c r="E862" s="91" t="s">
        <v>255</v>
      </c>
      <c r="F862" s="91" t="s">
        <v>60</v>
      </c>
      <c r="G862" s="74">
        <v>0</v>
      </c>
      <c r="H862" s="74">
        <v>0</v>
      </c>
      <c r="I862" s="102"/>
    </row>
    <row r="863" spans="1:54" ht="55.5" hidden="1" customHeight="1" x14ac:dyDescent="0.3">
      <c r="A863" s="124" t="s">
        <v>252</v>
      </c>
      <c r="B863" s="122">
        <v>936</v>
      </c>
      <c r="C863" s="91" t="s">
        <v>211</v>
      </c>
      <c r="D863" s="91" t="s">
        <v>118</v>
      </c>
      <c r="E863" s="91" t="s">
        <v>257</v>
      </c>
      <c r="F863" s="91" t="s">
        <v>51</v>
      </c>
      <c r="G863" s="74">
        <v>0</v>
      </c>
      <c r="H863" s="74">
        <v>0</v>
      </c>
      <c r="I863" s="102"/>
    </row>
    <row r="864" spans="1:54" ht="56.25" hidden="1" x14ac:dyDescent="0.3">
      <c r="A864" s="124" t="s">
        <v>256</v>
      </c>
      <c r="B864" s="122">
        <v>936</v>
      </c>
      <c r="C864" s="91" t="s">
        <v>211</v>
      </c>
      <c r="D864" s="91" t="s">
        <v>118</v>
      </c>
      <c r="E864" s="91" t="s">
        <v>258</v>
      </c>
      <c r="F864" s="91" t="s">
        <v>51</v>
      </c>
      <c r="G864" s="74">
        <v>0</v>
      </c>
      <c r="H864" s="74">
        <v>0</v>
      </c>
      <c r="I864" s="102"/>
    </row>
    <row r="865" spans="1:39" ht="37.5" hidden="1" x14ac:dyDescent="0.3">
      <c r="A865" s="124" t="s">
        <v>433</v>
      </c>
      <c r="B865" s="122">
        <v>936</v>
      </c>
      <c r="C865" s="91" t="s">
        <v>211</v>
      </c>
      <c r="D865" s="91" t="s">
        <v>118</v>
      </c>
      <c r="E865" s="91" t="s">
        <v>258</v>
      </c>
      <c r="F865" s="91" t="s">
        <v>60</v>
      </c>
      <c r="G865" s="74">
        <v>0</v>
      </c>
      <c r="H865" s="74">
        <v>0</v>
      </c>
      <c r="I865" s="102"/>
      <c r="AL865" s="100"/>
      <c r="AM865" s="100"/>
    </row>
    <row r="866" spans="1:39" ht="65.25" hidden="1" customHeight="1" x14ac:dyDescent="0.3">
      <c r="A866" s="121" t="s">
        <v>591</v>
      </c>
      <c r="B866" s="122">
        <v>936</v>
      </c>
      <c r="C866" s="91" t="s">
        <v>211</v>
      </c>
      <c r="D866" s="91" t="s">
        <v>118</v>
      </c>
      <c r="E866" s="91" t="s">
        <v>259</v>
      </c>
      <c r="F866" s="91" t="s">
        <v>51</v>
      </c>
      <c r="G866" s="74">
        <f>G867</f>
        <v>0</v>
      </c>
      <c r="H866" s="74">
        <f>H867</f>
        <v>0</v>
      </c>
      <c r="I866" s="102"/>
      <c r="AL866" s="100"/>
      <c r="AM866" s="100"/>
    </row>
    <row r="867" spans="1:39" ht="37.5" hidden="1" x14ac:dyDescent="0.3">
      <c r="A867" s="124" t="s">
        <v>433</v>
      </c>
      <c r="B867" s="122">
        <v>936</v>
      </c>
      <c r="C867" s="91" t="s">
        <v>211</v>
      </c>
      <c r="D867" s="91" t="s">
        <v>118</v>
      </c>
      <c r="E867" s="91" t="s">
        <v>259</v>
      </c>
      <c r="F867" s="91" t="s">
        <v>60</v>
      </c>
      <c r="G867" s="74">
        <f>K867+X867</f>
        <v>0</v>
      </c>
      <c r="H867" s="74">
        <f>L867+Y867</f>
        <v>0</v>
      </c>
      <c r="I867" s="102"/>
      <c r="K867" s="100">
        <v>100</v>
      </c>
      <c r="X867" s="100">
        <v>-100</v>
      </c>
      <c r="AL867" s="100"/>
      <c r="AM867" s="100"/>
    </row>
    <row r="868" spans="1:39" ht="75" hidden="1" x14ac:dyDescent="0.3">
      <c r="A868" s="124" t="s">
        <v>252</v>
      </c>
      <c r="B868" s="122">
        <v>936</v>
      </c>
      <c r="C868" s="91" t="s">
        <v>211</v>
      </c>
      <c r="D868" s="91" t="s">
        <v>118</v>
      </c>
      <c r="E868" s="91" t="s">
        <v>257</v>
      </c>
      <c r="F868" s="91" t="s">
        <v>51</v>
      </c>
      <c r="G868" s="74">
        <f>G869+G871+G873+G875</f>
        <v>0</v>
      </c>
      <c r="H868" s="74">
        <f>H869+H871+H873+H875</f>
        <v>0</v>
      </c>
      <c r="I868" s="102"/>
      <c r="AL868" s="100"/>
      <c r="AM868" s="100"/>
    </row>
    <row r="869" spans="1:39" ht="131.25" hidden="1" x14ac:dyDescent="0.3">
      <c r="A869" s="124" t="s">
        <v>592</v>
      </c>
      <c r="B869" s="122">
        <v>936</v>
      </c>
      <c r="C869" s="91" t="s">
        <v>211</v>
      </c>
      <c r="D869" s="91" t="s">
        <v>118</v>
      </c>
      <c r="E869" s="91" t="s">
        <v>647</v>
      </c>
      <c r="F869" s="91" t="s">
        <v>51</v>
      </c>
      <c r="G869" s="74">
        <f>G870</f>
        <v>0</v>
      </c>
      <c r="H869" s="74">
        <f>H870</f>
        <v>0</v>
      </c>
      <c r="I869" s="102"/>
      <c r="AL869" s="100"/>
      <c r="AM869" s="100"/>
    </row>
    <row r="870" spans="1:39" ht="37.5" hidden="1" x14ac:dyDescent="0.3">
      <c r="A870" s="124" t="s">
        <v>433</v>
      </c>
      <c r="B870" s="122">
        <v>936</v>
      </c>
      <c r="C870" s="91" t="s">
        <v>211</v>
      </c>
      <c r="D870" s="91" t="s">
        <v>118</v>
      </c>
      <c r="E870" s="91" t="s">
        <v>647</v>
      </c>
      <c r="F870" s="91" t="s">
        <v>60</v>
      </c>
      <c r="G870" s="74">
        <v>0</v>
      </c>
      <c r="H870" s="74">
        <v>0</v>
      </c>
      <c r="I870" s="102">
        <v>892</v>
      </c>
      <c r="X870" s="100">
        <v>-422.3</v>
      </c>
      <c r="AE870" s="100">
        <v>-233.55133000000001</v>
      </c>
      <c r="AI870" s="100">
        <v>0</v>
      </c>
      <c r="AL870" s="100"/>
      <c r="AM870" s="100"/>
    </row>
    <row r="871" spans="1:39" ht="93.75" hidden="1" x14ac:dyDescent="0.3">
      <c r="A871" s="124" t="s">
        <v>593</v>
      </c>
      <c r="B871" s="122">
        <v>936</v>
      </c>
      <c r="C871" s="91" t="s">
        <v>211</v>
      </c>
      <c r="D871" s="91" t="s">
        <v>118</v>
      </c>
      <c r="E871" s="91" t="s">
        <v>644</v>
      </c>
      <c r="F871" s="91" t="s">
        <v>51</v>
      </c>
      <c r="G871" s="74">
        <f>G872</f>
        <v>0</v>
      </c>
      <c r="H871" s="74">
        <f>H872</f>
        <v>0</v>
      </c>
      <c r="I871" s="102"/>
      <c r="AL871" s="100"/>
      <c r="AM871" s="100"/>
    </row>
    <row r="872" spans="1:39" ht="37.5" hidden="1" x14ac:dyDescent="0.3">
      <c r="A872" s="124" t="s">
        <v>433</v>
      </c>
      <c r="B872" s="122">
        <v>936</v>
      </c>
      <c r="C872" s="91" t="s">
        <v>211</v>
      </c>
      <c r="D872" s="91" t="s">
        <v>118</v>
      </c>
      <c r="E872" s="91" t="s">
        <v>644</v>
      </c>
      <c r="F872" s="91" t="s">
        <v>60</v>
      </c>
      <c r="G872" s="74">
        <v>0</v>
      </c>
      <c r="H872" s="74">
        <v>0</v>
      </c>
      <c r="I872" s="102">
        <v>847</v>
      </c>
      <c r="AI872" s="100">
        <v>0</v>
      </c>
      <c r="AL872" s="100"/>
      <c r="AM872" s="100"/>
    </row>
    <row r="873" spans="1:39" ht="112.5" hidden="1" x14ac:dyDescent="0.3">
      <c r="A873" s="124" t="s">
        <v>594</v>
      </c>
      <c r="B873" s="122">
        <v>936</v>
      </c>
      <c r="C873" s="128" t="s">
        <v>211</v>
      </c>
      <c r="D873" s="128" t="s">
        <v>118</v>
      </c>
      <c r="E873" s="128" t="s">
        <v>654</v>
      </c>
      <c r="F873" s="91" t="s">
        <v>51</v>
      </c>
      <c r="G873" s="74">
        <f>G874</f>
        <v>0</v>
      </c>
      <c r="H873" s="74">
        <f>H874</f>
        <v>0</v>
      </c>
      <c r="I873" s="102"/>
      <c r="AL873" s="100"/>
      <c r="AM873" s="100"/>
    </row>
    <row r="874" spans="1:39" ht="37.5" hidden="1" x14ac:dyDescent="0.3">
      <c r="A874" s="124" t="s">
        <v>433</v>
      </c>
      <c r="B874" s="122">
        <v>936</v>
      </c>
      <c r="C874" s="128" t="s">
        <v>211</v>
      </c>
      <c r="D874" s="128" t="s">
        <v>118</v>
      </c>
      <c r="E874" s="128" t="s">
        <v>654</v>
      </c>
      <c r="F874" s="128" t="s">
        <v>60</v>
      </c>
      <c r="G874" s="74">
        <v>0</v>
      </c>
      <c r="H874" s="74">
        <v>0</v>
      </c>
      <c r="I874" s="102">
        <v>1000</v>
      </c>
      <c r="AI874" s="100">
        <v>0</v>
      </c>
      <c r="AL874" s="100"/>
      <c r="AM874" s="100"/>
    </row>
    <row r="875" spans="1:39" ht="112.5" hidden="1" x14ac:dyDescent="0.3">
      <c r="A875" s="124" t="s">
        <v>595</v>
      </c>
      <c r="B875" s="122">
        <v>936</v>
      </c>
      <c r="C875" s="128" t="s">
        <v>211</v>
      </c>
      <c r="D875" s="128" t="s">
        <v>118</v>
      </c>
      <c r="E875" s="128" t="s">
        <v>650</v>
      </c>
      <c r="F875" s="91" t="s">
        <v>51</v>
      </c>
      <c r="G875" s="74">
        <f>G876</f>
        <v>0</v>
      </c>
      <c r="H875" s="74">
        <f>H876</f>
        <v>0</v>
      </c>
      <c r="I875" s="102"/>
      <c r="AL875" s="100"/>
      <c r="AM875" s="100"/>
    </row>
    <row r="876" spans="1:39" ht="37.5" hidden="1" x14ac:dyDescent="0.3">
      <c r="A876" s="124" t="s">
        <v>433</v>
      </c>
      <c r="B876" s="122">
        <v>936</v>
      </c>
      <c r="C876" s="128" t="s">
        <v>211</v>
      </c>
      <c r="D876" s="128" t="s">
        <v>118</v>
      </c>
      <c r="E876" s="128" t="s">
        <v>650</v>
      </c>
      <c r="F876" s="128" t="s">
        <v>60</v>
      </c>
      <c r="G876" s="74">
        <v>0</v>
      </c>
      <c r="H876" s="74">
        <v>0</v>
      </c>
      <c r="I876" s="102">
        <v>1000</v>
      </c>
      <c r="AI876" s="100">
        <v>0</v>
      </c>
      <c r="AL876" s="100"/>
      <c r="AM876" s="100"/>
    </row>
    <row r="877" spans="1:39" ht="112.5" hidden="1" x14ac:dyDescent="0.3">
      <c r="A877" s="124" t="s">
        <v>594</v>
      </c>
      <c r="B877" s="122">
        <v>936</v>
      </c>
      <c r="C877" s="128" t="s">
        <v>211</v>
      </c>
      <c r="D877" s="128" t="s">
        <v>118</v>
      </c>
      <c r="E877" s="128" t="s">
        <v>640</v>
      </c>
      <c r="F877" s="91" t="s">
        <v>51</v>
      </c>
      <c r="G877" s="74">
        <f>G878</f>
        <v>0</v>
      </c>
      <c r="H877" s="74">
        <f>H878</f>
        <v>0</v>
      </c>
      <c r="I877" s="102"/>
      <c r="AL877" s="100"/>
      <c r="AM877" s="100"/>
    </row>
    <row r="878" spans="1:39" ht="37.5" hidden="1" x14ac:dyDescent="0.3">
      <c r="A878" s="124" t="s">
        <v>433</v>
      </c>
      <c r="B878" s="122">
        <v>936</v>
      </c>
      <c r="C878" s="128" t="s">
        <v>211</v>
      </c>
      <c r="D878" s="128" t="s">
        <v>118</v>
      </c>
      <c r="E878" s="128" t="s">
        <v>640</v>
      </c>
      <c r="F878" s="128" t="s">
        <v>60</v>
      </c>
      <c r="G878" s="74">
        <v>0</v>
      </c>
      <c r="H878" s="74">
        <v>0</v>
      </c>
      <c r="I878" s="102"/>
      <c r="K878" s="100">
        <v>168.3</v>
      </c>
      <c r="AI878" s="100">
        <v>0</v>
      </c>
      <c r="AL878" s="100"/>
      <c r="AM878" s="100"/>
    </row>
    <row r="879" spans="1:39" ht="112.5" hidden="1" x14ac:dyDescent="0.3">
      <c r="A879" s="124" t="s">
        <v>595</v>
      </c>
      <c r="B879" s="122">
        <v>936</v>
      </c>
      <c r="C879" s="128" t="s">
        <v>211</v>
      </c>
      <c r="D879" s="128" t="s">
        <v>118</v>
      </c>
      <c r="E879" s="128" t="s">
        <v>636</v>
      </c>
      <c r="F879" s="91" t="s">
        <v>51</v>
      </c>
      <c r="G879" s="74">
        <f>G880</f>
        <v>0</v>
      </c>
      <c r="H879" s="74">
        <f>H880</f>
        <v>0</v>
      </c>
      <c r="I879" s="102"/>
      <c r="AL879" s="100"/>
      <c r="AM879" s="100"/>
    </row>
    <row r="880" spans="1:39" ht="37.5" hidden="1" x14ac:dyDescent="0.3">
      <c r="A880" s="124" t="s">
        <v>433</v>
      </c>
      <c r="B880" s="122">
        <v>936</v>
      </c>
      <c r="C880" s="128" t="s">
        <v>211</v>
      </c>
      <c r="D880" s="128" t="s">
        <v>118</v>
      </c>
      <c r="E880" s="128" t="s">
        <v>636</v>
      </c>
      <c r="F880" s="128" t="s">
        <v>60</v>
      </c>
      <c r="G880" s="74">
        <v>0</v>
      </c>
      <c r="H880" s="74">
        <v>0</v>
      </c>
      <c r="I880" s="102"/>
      <c r="K880" s="100">
        <v>367.24099999999999</v>
      </c>
      <c r="AA880" s="100">
        <v>-56.698529999999998</v>
      </c>
      <c r="AI880" s="100">
        <v>0</v>
      </c>
      <c r="AL880" s="100"/>
      <c r="AM880" s="100"/>
    </row>
    <row r="881" spans="1:39" ht="131.25" hidden="1" x14ac:dyDescent="0.3">
      <c r="A881" s="124" t="s">
        <v>592</v>
      </c>
      <c r="B881" s="122">
        <v>936</v>
      </c>
      <c r="C881" s="128" t="s">
        <v>211</v>
      </c>
      <c r="D881" s="128" t="s">
        <v>118</v>
      </c>
      <c r="E881" s="128" t="s">
        <v>632</v>
      </c>
      <c r="F881" s="91" t="s">
        <v>51</v>
      </c>
      <c r="G881" s="74">
        <f>G882</f>
        <v>0</v>
      </c>
      <c r="H881" s="74">
        <f>H882</f>
        <v>0</v>
      </c>
      <c r="I881" s="102"/>
      <c r="AL881" s="100"/>
      <c r="AM881" s="100"/>
    </row>
    <row r="882" spans="1:39" ht="37.5" hidden="1" x14ac:dyDescent="0.3">
      <c r="A882" s="124" t="s">
        <v>433</v>
      </c>
      <c r="B882" s="122">
        <v>936</v>
      </c>
      <c r="C882" s="128" t="s">
        <v>211</v>
      </c>
      <c r="D882" s="128" t="s">
        <v>118</v>
      </c>
      <c r="E882" s="128" t="s">
        <v>632</v>
      </c>
      <c r="F882" s="128" t="s">
        <v>60</v>
      </c>
      <c r="G882" s="74">
        <v>0</v>
      </c>
      <c r="H882" s="74">
        <v>0</v>
      </c>
      <c r="I882" s="102"/>
      <c r="K882" s="100">
        <v>120.13200000000001</v>
      </c>
      <c r="AI882" s="100">
        <v>0</v>
      </c>
      <c r="AL882" s="100"/>
      <c r="AM882" s="100"/>
    </row>
    <row r="883" spans="1:39" ht="93.75" hidden="1" x14ac:dyDescent="0.3">
      <c r="A883" s="124" t="s">
        <v>593</v>
      </c>
      <c r="B883" s="122">
        <v>936</v>
      </c>
      <c r="C883" s="128" t="s">
        <v>211</v>
      </c>
      <c r="D883" s="128" t="s">
        <v>118</v>
      </c>
      <c r="E883" s="128" t="s">
        <v>629</v>
      </c>
      <c r="F883" s="91" t="s">
        <v>51</v>
      </c>
      <c r="G883" s="74">
        <f>G884</f>
        <v>0</v>
      </c>
      <c r="H883" s="74">
        <f>H884</f>
        <v>0</v>
      </c>
      <c r="I883" s="102"/>
      <c r="AL883" s="100"/>
      <c r="AM883" s="100"/>
    </row>
    <row r="884" spans="1:39" ht="37.5" hidden="1" x14ac:dyDescent="0.3">
      <c r="A884" s="124" t="s">
        <v>433</v>
      </c>
      <c r="B884" s="122">
        <v>936</v>
      </c>
      <c r="C884" s="128" t="s">
        <v>211</v>
      </c>
      <c r="D884" s="128" t="s">
        <v>118</v>
      </c>
      <c r="E884" s="128" t="s">
        <v>629</v>
      </c>
      <c r="F884" s="128" t="s">
        <v>60</v>
      </c>
      <c r="G884" s="74">
        <v>0</v>
      </c>
      <c r="H884" s="74">
        <v>0</v>
      </c>
      <c r="I884" s="102"/>
      <c r="K884" s="100">
        <v>115.958</v>
      </c>
      <c r="AI884" s="100">
        <v>0</v>
      </c>
      <c r="AL884" s="100"/>
      <c r="AM884" s="100"/>
    </row>
    <row r="885" spans="1:39" hidden="1" x14ac:dyDescent="0.3">
      <c r="A885" s="124" t="s">
        <v>63</v>
      </c>
      <c r="B885" s="122">
        <v>936</v>
      </c>
      <c r="C885" s="128" t="s">
        <v>211</v>
      </c>
      <c r="D885" s="128" t="s">
        <v>118</v>
      </c>
      <c r="E885" s="128" t="s">
        <v>254</v>
      </c>
      <c r="F885" s="128" t="s">
        <v>51</v>
      </c>
      <c r="G885" s="74">
        <f>G888+G890+G892+G894+G886</f>
        <v>0</v>
      </c>
      <c r="H885" s="74">
        <f>H888+H890+H892+H894+H886</f>
        <v>0</v>
      </c>
      <c r="I885" s="102"/>
      <c r="AL885" s="100"/>
      <c r="AM885" s="100"/>
    </row>
    <row r="886" spans="1:39" hidden="1" x14ac:dyDescent="0.3">
      <c r="A886" s="124" t="s">
        <v>292</v>
      </c>
      <c r="B886" s="122">
        <v>936</v>
      </c>
      <c r="C886" s="128" t="s">
        <v>211</v>
      </c>
      <c r="D886" s="128" t="s">
        <v>118</v>
      </c>
      <c r="E886" s="128" t="s">
        <v>710</v>
      </c>
      <c r="F886" s="91" t="s">
        <v>51</v>
      </c>
      <c r="G886" s="74">
        <f>G887</f>
        <v>0</v>
      </c>
      <c r="H886" s="74">
        <f>H887</f>
        <v>0</v>
      </c>
      <c r="I886" s="102"/>
      <c r="AL886" s="100"/>
      <c r="AM886" s="100"/>
    </row>
    <row r="887" spans="1:39" ht="37.5" hidden="1" x14ac:dyDescent="0.3">
      <c r="A887" s="124" t="s">
        <v>433</v>
      </c>
      <c r="B887" s="122">
        <v>936</v>
      </c>
      <c r="C887" s="128" t="s">
        <v>211</v>
      </c>
      <c r="D887" s="128" t="s">
        <v>118</v>
      </c>
      <c r="E887" s="128" t="s">
        <v>710</v>
      </c>
      <c r="F887" s="128" t="s">
        <v>60</v>
      </c>
      <c r="G887" s="74">
        <v>0</v>
      </c>
      <c r="H887" s="74">
        <v>0</v>
      </c>
      <c r="I887" s="102"/>
      <c r="X887" s="100">
        <v>100</v>
      </c>
      <c r="AB887" s="100">
        <v>115</v>
      </c>
      <c r="AL887" s="100"/>
      <c r="AM887" s="100"/>
    </row>
    <row r="888" spans="1:39" ht="75" hidden="1" x14ac:dyDescent="0.3">
      <c r="A888" s="124" t="s">
        <v>596</v>
      </c>
      <c r="B888" s="122">
        <v>936</v>
      </c>
      <c r="C888" s="128" t="s">
        <v>211</v>
      </c>
      <c r="D888" s="128" t="s">
        <v>118</v>
      </c>
      <c r="E888" s="128" t="s">
        <v>669</v>
      </c>
      <c r="F888" s="91" t="s">
        <v>51</v>
      </c>
      <c r="G888" s="74">
        <f>G889</f>
        <v>0</v>
      </c>
      <c r="H888" s="74">
        <f>H889</f>
        <v>0</v>
      </c>
      <c r="I888" s="102"/>
      <c r="AL888" s="100"/>
      <c r="AM888" s="100"/>
    </row>
    <row r="889" spans="1:39" ht="37.5" hidden="1" x14ac:dyDescent="0.3">
      <c r="A889" s="124" t="s">
        <v>433</v>
      </c>
      <c r="B889" s="122">
        <v>936</v>
      </c>
      <c r="C889" s="128" t="s">
        <v>211</v>
      </c>
      <c r="D889" s="128" t="s">
        <v>118</v>
      </c>
      <c r="E889" s="128" t="s">
        <v>669</v>
      </c>
      <c r="F889" s="128" t="s">
        <v>60</v>
      </c>
      <c r="G889" s="74">
        <v>0</v>
      </c>
      <c r="H889" s="74">
        <v>0</v>
      </c>
      <c r="I889" s="102"/>
      <c r="K889" s="100">
        <v>502</v>
      </c>
      <c r="AI889" s="100">
        <v>0</v>
      </c>
      <c r="AL889" s="100"/>
      <c r="AM889" s="100"/>
    </row>
    <row r="890" spans="1:39" ht="75" hidden="1" x14ac:dyDescent="0.3">
      <c r="A890" s="124" t="s">
        <v>597</v>
      </c>
      <c r="B890" s="122">
        <v>936</v>
      </c>
      <c r="C890" s="128" t="s">
        <v>211</v>
      </c>
      <c r="D890" s="128" t="s">
        <v>118</v>
      </c>
      <c r="E890" s="128" t="s">
        <v>665</v>
      </c>
      <c r="F890" s="91" t="s">
        <v>51</v>
      </c>
      <c r="G890" s="74">
        <f>G891</f>
        <v>0</v>
      </c>
      <c r="H890" s="74">
        <f>H891</f>
        <v>0</v>
      </c>
      <c r="I890" s="102"/>
      <c r="AL890" s="100"/>
      <c r="AM890" s="100"/>
    </row>
    <row r="891" spans="1:39" ht="37.5" hidden="1" x14ac:dyDescent="0.3">
      <c r="A891" s="124" t="s">
        <v>433</v>
      </c>
      <c r="B891" s="122">
        <v>936</v>
      </c>
      <c r="C891" s="128" t="s">
        <v>211</v>
      </c>
      <c r="D891" s="128" t="s">
        <v>118</v>
      </c>
      <c r="E891" s="128" t="s">
        <v>665</v>
      </c>
      <c r="F891" s="128" t="s">
        <v>60</v>
      </c>
      <c r="G891" s="74">
        <v>0</v>
      </c>
      <c r="H891" s="74">
        <v>0</v>
      </c>
      <c r="I891" s="102"/>
      <c r="K891" s="100">
        <v>225</v>
      </c>
      <c r="AI891" s="100">
        <v>0</v>
      </c>
      <c r="AL891" s="100"/>
      <c r="AM891" s="100"/>
    </row>
    <row r="892" spans="1:39" ht="112.5" hidden="1" x14ac:dyDescent="0.3">
      <c r="A892" s="124" t="s">
        <v>598</v>
      </c>
      <c r="B892" s="122">
        <v>936</v>
      </c>
      <c r="C892" s="128" t="s">
        <v>211</v>
      </c>
      <c r="D892" s="128" t="s">
        <v>118</v>
      </c>
      <c r="E892" s="128" t="s">
        <v>662</v>
      </c>
      <c r="F892" s="91" t="s">
        <v>51</v>
      </c>
      <c r="G892" s="74">
        <f>G893</f>
        <v>0</v>
      </c>
      <c r="H892" s="74">
        <f>H893</f>
        <v>0</v>
      </c>
      <c r="I892" s="102"/>
      <c r="AL892" s="100"/>
      <c r="AM892" s="100"/>
    </row>
    <row r="893" spans="1:39" ht="37.5" hidden="1" x14ac:dyDescent="0.3">
      <c r="A893" s="124" t="s">
        <v>433</v>
      </c>
      <c r="B893" s="122">
        <v>936</v>
      </c>
      <c r="C893" s="128" t="s">
        <v>211</v>
      </c>
      <c r="D893" s="128" t="s">
        <v>118</v>
      </c>
      <c r="E893" s="128" t="s">
        <v>662</v>
      </c>
      <c r="F893" s="128" t="s">
        <v>60</v>
      </c>
      <c r="G893" s="74">
        <v>0</v>
      </c>
      <c r="H893" s="74">
        <v>0</v>
      </c>
      <c r="I893" s="102"/>
      <c r="K893" s="100">
        <v>177</v>
      </c>
      <c r="AI893" s="100">
        <v>0</v>
      </c>
      <c r="AL893" s="100"/>
      <c r="AM893" s="100"/>
    </row>
    <row r="894" spans="1:39" ht="68.25" hidden="1" customHeight="1" x14ac:dyDescent="0.3">
      <c r="A894" s="124" t="s">
        <v>599</v>
      </c>
      <c r="B894" s="122">
        <v>936</v>
      </c>
      <c r="C894" s="128" t="s">
        <v>211</v>
      </c>
      <c r="D894" s="128" t="s">
        <v>118</v>
      </c>
      <c r="E894" s="128" t="s">
        <v>659</v>
      </c>
      <c r="F894" s="91" t="s">
        <v>51</v>
      </c>
      <c r="G894" s="74">
        <f>G895</f>
        <v>0</v>
      </c>
      <c r="H894" s="74">
        <f>H895</f>
        <v>0</v>
      </c>
      <c r="I894" s="102"/>
      <c r="AL894" s="100"/>
      <c r="AM894" s="100"/>
    </row>
    <row r="895" spans="1:39" ht="47.25" hidden="1" customHeight="1" x14ac:dyDescent="0.3">
      <c r="A895" s="124" t="s">
        <v>433</v>
      </c>
      <c r="B895" s="122">
        <v>936</v>
      </c>
      <c r="C895" s="128" t="s">
        <v>211</v>
      </c>
      <c r="D895" s="128" t="s">
        <v>118</v>
      </c>
      <c r="E895" s="128" t="s">
        <v>659</v>
      </c>
      <c r="F895" s="128" t="s">
        <v>60</v>
      </c>
      <c r="G895" s="74">
        <v>0</v>
      </c>
      <c r="H895" s="74">
        <v>0</v>
      </c>
      <c r="I895" s="102"/>
      <c r="K895" s="100">
        <v>179</v>
      </c>
      <c r="AI895" s="100">
        <v>0</v>
      </c>
      <c r="AL895" s="100"/>
      <c r="AM895" s="100"/>
    </row>
    <row r="896" spans="1:39" ht="56.25" hidden="1" customHeight="1" x14ac:dyDescent="0.3">
      <c r="A896" s="124" t="s">
        <v>293</v>
      </c>
      <c r="B896" s="122">
        <v>936</v>
      </c>
      <c r="C896" s="91" t="s">
        <v>211</v>
      </c>
      <c r="D896" s="91" t="s">
        <v>118</v>
      </c>
      <c r="E896" s="91" t="s">
        <v>295</v>
      </c>
      <c r="F896" s="128" t="s">
        <v>294</v>
      </c>
      <c r="G896" s="74">
        <v>0</v>
      </c>
      <c r="H896" s="74">
        <v>0</v>
      </c>
      <c r="I896" s="102"/>
      <c r="AL896" s="100"/>
      <c r="AM896" s="100"/>
    </row>
    <row r="897" spans="1:47" ht="34.5" hidden="1" customHeight="1" x14ac:dyDescent="0.3">
      <c r="A897" s="224" t="s">
        <v>61</v>
      </c>
      <c r="B897" s="122">
        <v>936</v>
      </c>
      <c r="C897" s="91" t="s">
        <v>211</v>
      </c>
      <c r="D897" s="91" t="s">
        <v>118</v>
      </c>
      <c r="E897" s="91" t="s">
        <v>295</v>
      </c>
      <c r="F897" s="128" t="s">
        <v>62</v>
      </c>
      <c r="G897" s="74">
        <v>0</v>
      </c>
      <c r="H897" s="74">
        <v>0</v>
      </c>
      <c r="I897" s="102"/>
      <c r="AL897" s="100"/>
      <c r="AM897" s="100"/>
    </row>
    <row r="898" spans="1:47" ht="50.25" hidden="1" customHeight="1" x14ac:dyDescent="0.3">
      <c r="A898" s="121" t="s">
        <v>12</v>
      </c>
      <c r="B898" s="122">
        <v>936</v>
      </c>
      <c r="C898" s="91" t="s">
        <v>211</v>
      </c>
      <c r="D898" s="91" t="s">
        <v>118</v>
      </c>
      <c r="E898" s="123" t="s">
        <v>103</v>
      </c>
      <c r="F898" s="91" t="s">
        <v>51</v>
      </c>
      <c r="G898" s="74">
        <f>G901+G911+G937</f>
        <v>3400</v>
      </c>
      <c r="H898" s="74">
        <f>H901+H911</f>
        <v>400</v>
      </c>
      <c r="I898" s="102"/>
      <c r="AL898" s="100"/>
      <c r="AM898" s="100"/>
    </row>
    <row r="899" spans="1:47" ht="56.25" hidden="1" x14ac:dyDescent="0.3">
      <c r="A899" s="124" t="s">
        <v>256</v>
      </c>
      <c r="B899" s="122">
        <v>936</v>
      </c>
      <c r="C899" s="91" t="s">
        <v>211</v>
      </c>
      <c r="D899" s="91" t="s">
        <v>118</v>
      </c>
      <c r="E899" s="91" t="s">
        <v>259</v>
      </c>
      <c r="F899" s="91" t="s">
        <v>51</v>
      </c>
      <c r="G899" s="74">
        <f>G900</f>
        <v>0</v>
      </c>
      <c r="H899" s="74">
        <f>H900</f>
        <v>0</v>
      </c>
      <c r="I899" s="102"/>
    </row>
    <row r="900" spans="1:47" ht="37.5" hidden="1" x14ac:dyDescent="0.3">
      <c r="A900" s="124" t="s">
        <v>433</v>
      </c>
      <c r="B900" s="122">
        <v>936</v>
      </c>
      <c r="C900" s="91" t="s">
        <v>211</v>
      </c>
      <c r="D900" s="91" t="s">
        <v>118</v>
      </c>
      <c r="E900" s="91" t="s">
        <v>259</v>
      </c>
      <c r="F900" s="91" t="s">
        <v>60</v>
      </c>
      <c r="G900" s="74">
        <v>0</v>
      </c>
      <c r="H900" s="74">
        <v>0</v>
      </c>
      <c r="I900" s="102"/>
    </row>
    <row r="901" spans="1:47" ht="37.5" hidden="1" collapsed="1" x14ac:dyDescent="0.3">
      <c r="A901" s="172" t="s">
        <v>407</v>
      </c>
      <c r="B901" s="127">
        <v>936</v>
      </c>
      <c r="C901" s="128" t="s">
        <v>211</v>
      </c>
      <c r="D901" s="128" t="s">
        <v>118</v>
      </c>
      <c r="E901" s="128" t="s">
        <v>356</v>
      </c>
      <c r="F901" s="138" t="s">
        <v>51</v>
      </c>
      <c r="G901" s="74">
        <f>G902</f>
        <v>0</v>
      </c>
      <c r="H901" s="74">
        <f>H902</f>
        <v>0</v>
      </c>
      <c r="I901" s="102"/>
    </row>
    <row r="902" spans="1:47" ht="37.5" hidden="1" x14ac:dyDescent="0.3">
      <c r="A902" s="172" t="s">
        <v>408</v>
      </c>
      <c r="B902" s="127">
        <v>936</v>
      </c>
      <c r="C902" s="128" t="s">
        <v>211</v>
      </c>
      <c r="D902" s="128" t="s">
        <v>118</v>
      </c>
      <c r="E902" s="128" t="s">
        <v>357</v>
      </c>
      <c r="F902" s="138" t="s">
        <v>51</v>
      </c>
      <c r="G902" s="74">
        <f>G903</f>
        <v>0</v>
      </c>
      <c r="H902" s="74">
        <f>H903</f>
        <v>0</v>
      </c>
      <c r="I902" s="102"/>
    </row>
    <row r="903" spans="1:47" ht="38.25" hidden="1" customHeight="1" x14ac:dyDescent="0.3">
      <c r="A903" s="130" t="s">
        <v>355</v>
      </c>
      <c r="B903" s="127">
        <v>936</v>
      </c>
      <c r="C903" s="128" t="s">
        <v>211</v>
      </c>
      <c r="D903" s="128" t="s">
        <v>118</v>
      </c>
      <c r="E903" s="128" t="s">
        <v>358</v>
      </c>
      <c r="F903" s="128" t="s">
        <v>51</v>
      </c>
      <c r="G903" s="74">
        <f>G904+G906+G905</f>
        <v>0</v>
      </c>
      <c r="H903" s="74">
        <f>H904</f>
        <v>0</v>
      </c>
      <c r="I903" s="102"/>
    </row>
    <row r="904" spans="1:47" ht="38.25" hidden="1" customHeight="1" x14ac:dyDescent="0.3">
      <c r="A904" s="124" t="s">
        <v>433</v>
      </c>
      <c r="B904" s="173">
        <v>936</v>
      </c>
      <c r="C904" s="128" t="s">
        <v>211</v>
      </c>
      <c r="D904" s="128" t="s">
        <v>118</v>
      </c>
      <c r="E904" s="128" t="s">
        <v>358</v>
      </c>
      <c r="F904" s="128" t="s">
        <v>60</v>
      </c>
      <c r="G904" s="74">
        <v>0</v>
      </c>
      <c r="H904" s="74">
        <f>AT904+AU904-13755.8</f>
        <v>0</v>
      </c>
      <c r="I904" s="102">
        <v>842.7</v>
      </c>
      <c r="K904" s="100">
        <v>8.6</v>
      </c>
      <c r="R904" s="100">
        <f>-0.1634-230.41008</f>
        <v>-230.57347999999999</v>
      </c>
      <c r="S904" s="100">
        <f>-3026.5-808.97308+500</f>
        <v>-3335.4730799999998</v>
      </c>
      <c r="X904" s="100">
        <v>12.06954</v>
      </c>
      <c r="AI904" s="100">
        <v>17152.3</v>
      </c>
      <c r="AL904" s="102">
        <v>14792.9</v>
      </c>
      <c r="AM904" s="102">
        <v>16753.7</v>
      </c>
      <c r="AO904" s="103">
        <v>173.3</v>
      </c>
      <c r="AR904" s="101">
        <v>166.9</v>
      </c>
      <c r="AS904" s="101">
        <v>16513.8</v>
      </c>
      <c r="AT904" s="101">
        <v>137.6</v>
      </c>
      <c r="AU904" s="101">
        <v>13618.2</v>
      </c>
    </row>
    <row r="905" spans="1:47" ht="61.5" hidden="1" customHeight="1" x14ac:dyDescent="0.3">
      <c r="A905" s="124" t="s">
        <v>293</v>
      </c>
      <c r="B905" s="173">
        <v>936</v>
      </c>
      <c r="C905" s="128" t="s">
        <v>211</v>
      </c>
      <c r="D905" s="128" t="s">
        <v>118</v>
      </c>
      <c r="E905" s="128" t="s">
        <v>358</v>
      </c>
      <c r="F905" s="128" t="s">
        <v>294</v>
      </c>
      <c r="G905" s="74">
        <f>S905+R905-652.08195-2104.82813</f>
        <v>0</v>
      </c>
      <c r="H905" s="74">
        <f>T905+S905-652.08195-2104.82813</f>
        <v>-230.41007999999988</v>
      </c>
      <c r="I905" s="102"/>
      <c r="R905" s="100">
        <v>230.41007999999999</v>
      </c>
      <c r="S905" s="100">
        <f>3026.5-500</f>
        <v>2526.5</v>
      </c>
    </row>
    <row r="906" spans="1:47" ht="38.25" hidden="1" customHeight="1" x14ac:dyDescent="0.3">
      <c r="A906" s="124" t="s">
        <v>267</v>
      </c>
      <c r="B906" s="173">
        <v>936</v>
      </c>
      <c r="C906" s="128" t="s">
        <v>211</v>
      </c>
      <c r="D906" s="128" t="s">
        <v>118</v>
      </c>
      <c r="E906" s="128" t="s">
        <v>358</v>
      </c>
      <c r="F906" s="128" t="s">
        <v>264</v>
      </c>
      <c r="G906" s="74">
        <v>0</v>
      </c>
      <c r="H906" s="74">
        <v>0</v>
      </c>
      <c r="I906" s="179"/>
      <c r="R906" s="100">
        <v>-5.9999999999999995E-4</v>
      </c>
      <c r="S906" s="100">
        <v>808.97307999999998</v>
      </c>
      <c r="X906" s="100">
        <v>-12.06954</v>
      </c>
      <c r="AI906" s="100">
        <v>0</v>
      </c>
    </row>
    <row r="907" spans="1:47" ht="38.25" customHeight="1" x14ac:dyDescent="0.3">
      <c r="A907" s="224" t="s">
        <v>875</v>
      </c>
      <c r="B907" s="9">
        <v>936</v>
      </c>
      <c r="C907" s="10" t="s">
        <v>211</v>
      </c>
      <c r="D907" s="10" t="s">
        <v>118</v>
      </c>
      <c r="E907" s="29" t="s">
        <v>876</v>
      </c>
      <c r="F907" s="10" t="s">
        <v>51</v>
      </c>
      <c r="G907" s="74">
        <f>G908</f>
        <v>2378.4</v>
      </c>
      <c r="H907" s="74">
        <f>H908</f>
        <v>0</v>
      </c>
      <c r="I907" s="179"/>
    </row>
    <row r="908" spans="1:47" ht="38.25" customHeight="1" x14ac:dyDescent="0.3">
      <c r="A908" s="124" t="s">
        <v>433</v>
      </c>
      <c r="B908" s="9">
        <v>936</v>
      </c>
      <c r="C908" s="10" t="s">
        <v>211</v>
      </c>
      <c r="D908" s="10" t="s">
        <v>118</v>
      </c>
      <c r="E908" s="29" t="s">
        <v>876</v>
      </c>
      <c r="F908" s="10" t="s">
        <v>60</v>
      </c>
      <c r="G908" s="74">
        <v>2378.4</v>
      </c>
      <c r="H908" s="74">
        <v>0</v>
      </c>
      <c r="I908" s="179"/>
    </row>
    <row r="909" spans="1:47" ht="38.25" customHeight="1" x14ac:dyDescent="0.3">
      <c r="A909" s="224" t="s">
        <v>875</v>
      </c>
      <c r="B909" s="9">
        <v>936</v>
      </c>
      <c r="C909" s="10" t="s">
        <v>211</v>
      </c>
      <c r="D909" s="10" t="s">
        <v>118</v>
      </c>
      <c r="E909" s="29" t="s">
        <v>877</v>
      </c>
      <c r="F909" s="10" t="s">
        <v>51</v>
      </c>
      <c r="G909" s="74">
        <f>G910</f>
        <v>2378.4</v>
      </c>
      <c r="H909" s="74">
        <f>H910</f>
        <v>0</v>
      </c>
      <c r="I909" s="179"/>
    </row>
    <row r="910" spans="1:47" ht="38.25" customHeight="1" x14ac:dyDescent="0.3">
      <c r="A910" s="124" t="s">
        <v>433</v>
      </c>
      <c r="B910" s="9">
        <v>936</v>
      </c>
      <c r="C910" s="10" t="s">
        <v>211</v>
      </c>
      <c r="D910" s="10" t="s">
        <v>118</v>
      </c>
      <c r="E910" s="29" t="s">
        <v>877</v>
      </c>
      <c r="F910" s="10" t="s">
        <v>60</v>
      </c>
      <c r="G910" s="74">
        <v>2378.4</v>
      </c>
      <c r="H910" s="74">
        <v>0</v>
      </c>
      <c r="I910" s="179"/>
    </row>
    <row r="911" spans="1:47" ht="38.25" customHeight="1" x14ac:dyDescent="0.3">
      <c r="A911" s="124" t="s">
        <v>417</v>
      </c>
      <c r="B911" s="173">
        <v>936</v>
      </c>
      <c r="C911" s="128" t="s">
        <v>211</v>
      </c>
      <c r="D911" s="128" t="s">
        <v>118</v>
      </c>
      <c r="E911" s="128" t="s">
        <v>107</v>
      </c>
      <c r="F911" s="128" t="s">
        <v>51</v>
      </c>
      <c r="G911" s="74">
        <f>G912</f>
        <v>3400</v>
      </c>
      <c r="H911" s="74">
        <f>H912</f>
        <v>400</v>
      </c>
      <c r="I911" s="102"/>
    </row>
    <row r="912" spans="1:47" ht="38.25" customHeight="1" x14ac:dyDescent="0.3">
      <c r="A912" s="130" t="s">
        <v>63</v>
      </c>
      <c r="B912" s="173">
        <v>936</v>
      </c>
      <c r="C912" s="128" t="s">
        <v>211</v>
      </c>
      <c r="D912" s="128" t="s">
        <v>118</v>
      </c>
      <c r="E912" s="128" t="s">
        <v>359</v>
      </c>
      <c r="F912" s="128" t="s">
        <v>51</v>
      </c>
      <c r="G912" s="74">
        <f>G913</f>
        <v>3400</v>
      </c>
      <c r="H912" s="74">
        <f>H913</f>
        <v>400</v>
      </c>
      <c r="I912" s="102"/>
    </row>
    <row r="913" spans="1:35" ht="38.25" customHeight="1" x14ac:dyDescent="0.3">
      <c r="A913" s="130" t="s">
        <v>355</v>
      </c>
      <c r="B913" s="173">
        <v>936</v>
      </c>
      <c r="C913" s="128" t="s">
        <v>211</v>
      </c>
      <c r="D913" s="128" t="s">
        <v>118</v>
      </c>
      <c r="E913" s="128" t="s">
        <v>360</v>
      </c>
      <c r="F913" s="128" t="s">
        <v>51</v>
      </c>
      <c r="G913" s="74">
        <f>G914+G915</f>
        <v>3400</v>
      </c>
      <c r="H913" s="74">
        <f>H914+H915</f>
        <v>400</v>
      </c>
      <c r="I913" s="102"/>
    </row>
    <row r="914" spans="1:35" ht="45" customHeight="1" x14ac:dyDescent="0.3">
      <c r="A914" s="124" t="s">
        <v>433</v>
      </c>
      <c r="B914" s="173">
        <v>936</v>
      </c>
      <c r="C914" s="128" t="s">
        <v>211</v>
      </c>
      <c r="D914" s="128" t="s">
        <v>118</v>
      </c>
      <c r="E914" s="128" t="s">
        <v>360</v>
      </c>
      <c r="F914" s="128" t="s">
        <v>60</v>
      </c>
      <c r="G914" s="74">
        <f>400+2600+400</f>
        <v>3400</v>
      </c>
      <c r="H914" s="74">
        <v>400</v>
      </c>
      <c r="I914" s="102"/>
      <c r="K914" s="100">
        <v>300</v>
      </c>
      <c r="S914" s="100">
        <v>-74</v>
      </c>
      <c r="AC914" s="100">
        <v>74</v>
      </c>
      <c r="AI914" s="100">
        <v>0</v>
      </c>
    </row>
    <row r="915" spans="1:35" ht="68.25" hidden="1" customHeight="1" x14ac:dyDescent="0.3">
      <c r="A915" s="124" t="s">
        <v>293</v>
      </c>
      <c r="B915" s="173">
        <v>936</v>
      </c>
      <c r="C915" s="128" t="s">
        <v>211</v>
      </c>
      <c r="D915" s="128" t="s">
        <v>118</v>
      </c>
      <c r="E915" s="128" t="s">
        <v>360</v>
      </c>
      <c r="F915" s="128" t="s">
        <v>294</v>
      </c>
      <c r="G915" s="74">
        <f>S915+AC915</f>
        <v>0</v>
      </c>
      <c r="H915" s="74">
        <f>T915+AD915</f>
        <v>0</v>
      </c>
      <c r="I915" s="102"/>
      <c r="S915" s="100">
        <v>74</v>
      </c>
      <c r="AC915" s="100">
        <v>-74</v>
      </c>
      <c r="AI915" s="100">
        <v>0</v>
      </c>
    </row>
    <row r="916" spans="1:35" ht="45" hidden="1" customHeight="1" x14ac:dyDescent="0.3">
      <c r="A916" s="180" t="s">
        <v>589</v>
      </c>
      <c r="B916" s="181">
        <v>936</v>
      </c>
      <c r="C916" s="149" t="s">
        <v>211</v>
      </c>
      <c r="D916" s="149" t="s">
        <v>211</v>
      </c>
      <c r="E916" s="149" t="s">
        <v>50</v>
      </c>
      <c r="F916" s="149" t="s">
        <v>51</v>
      </c>
      <c r="G916" s="93">
        <f>G917</f>
        <v>0</v>
      </c>
      <c r="H916" s="93">
        <f>H917</f>
        <v>-1738.9</v>
      </c>
      <c r="I916" s="102"/>
    </row>
    <row r="917" spans="1:35" ht="45" hidden="1" customHeight="1" x14ac:dyDescent="0.3">
      <c r="A917" s="121" t="s">
        <v>162</v>
      </c>
      <c r="B917" s="140" t="s">
        <v>288</v>
      </c>
      <c r="C917" s="128" t="s">
        <v>211</v>
      </c>
      <c r="D917" s="128" t="s">
        <v>211</v>
      </c>
      <c r="E917" s="123" t="s">
        <v>100</v>
      </c>
      <c r="F917" s="140" t="s">
        <v>51</v>
      </c>
      <c r="G917" s="74">
        <f>G918</f>
        <v>0</v>
      </c>
      <c r="H917" s="74">
        <f>H918</f>
        <v>-1738.9</v>
      </c>
      <c r="I917" s="102"/>
    </row>
    <row r="918" spans="1:35" ht="30" hidden="1" customHeight="1" x14ac:dyDescent="0.3">
      <c r="A918" s="124" t="s">
        <v>417</v>
      </c>
      <c r="B918" s="122">
        <v>936</v>
      </c>
      <c r="C918" s="128" t="s">
        <v>211</v>
      </c>
      <c r="D918" s="128" t="s">
        <v>211</v>
      </c>
      <c r="E918" s="128" t="s">
        <v>429</v>
      </c>
      <c r="F918" s="128" t="s">
        <v>51</v>
      </c>
      <c r="G918" s="74">
        <f>G921</f>
        <v>0</v>
      </c>
      <c r="H918" s="74">
        <f>H921</f>
        <v>-1738.9</v>
      </c>
      <c r="I918" s="102"/>
    </row>
    <row r="919" spans="1:35" ht="50.25" hidden="1" customHeight="1" x14ac:dyDescent="0.3">
      <c r="A919" s="172" t="s">
        <v>407</v>
      </c>
      <c r="B919" s="122">
        <v>936</v>
      </c>
      <c r="C919" s="128" t="s">
        <v>211</v>
      </c>
      <c r="D919" s="128" t="s">
        <v>211</v>
      </c>
      <c r="E919" s="128" t="s">
        <v>713</v>
      </c>
      <c r="F919" s="128" t="s">
        <v>51</v>
      </c>
      <c r="G919" s="74">
        <f t="shared" ref="G919:H921" si="39">G920</f>
        <v>0</v>
      </c>
      <c r="H919" s="74">
        <f t="shared" si="39"/>
        <v>-1738.9</v>
      </c>
      <c r="I919" s="102"/>
    </row>
    <row r="920" spans="1:35" ht="30" hidden="1" customHeight="1" x14ac:dyDescent="0.3">
      <c r="A920" s="124" t="s">
        <v>714</v>
      </c>
      <c r="B920" s="122">
        <v>936</v>
      </c>
      <c r="C920" s="128" t="s">
        <v>211</v>
      </c>
      <c r="D920" s="128" t="s">
        <v>211</v>
      </c>
      <c r="E920" s="128" t="s">
        <v>624</v>
      </c>
      <c r="F920" s="128" t="s">
        <v>51</v>
      </c>
      <c r="G920" s="74">
        <f t="shared" si="39"/>
        <v>0</v>
      </c>
      <c r="H920" s="74">
        <f t="shared" si="39"/>
        <v>-1738.9</v>
      </c>
      <c r="I920" s="102"/>
    </row>
    <row r="921" spans="1:35" ht="45" hidden="1" customHeight="1" x14ac:dyDescent="0.3">
      <c r="A921" s="182" t="s">
        <v>590</v>
      </c>
      <c r="B921" s="122">
        <v>936</v>
      </c>
      <c r="C921" s="128" t="s">
        <v>211</v>
      </c>
      <c r="D921" s="128" t="s">
        <v>211</v>
      </c>
      <c r="E921" s="128" t="s">
        <v>624</v>
      </c>
      <c r="F921" s="128" t="s">
        <v>51</v>
      </c>
      <c r="G921" s="74">
        <f t="shared" si="39"/>
        <v>0</v>
      </c>
      <c r="H921" s="74">
        <f t="shared" si="39"/>
        <v>-1738.9</v>
      </c>
      <c r="I921" s="102"/>
    </row>
    <row r="922" spans="1:35" ht="45" hidden="1" customHeight="1" x14ac:dyDescent="0.3">
      <c r="A922" s="124" t="s">
        <v>433</v>
      </c>
      <c r="B922" s="122">
        <v>936</v>
      </c>
      <c r="C922" s="128" t="s">
        <v>211</v>
      </c>
      <c r="D922" s="128" t="s">
        <v>211</v>
      </c>
      <c r="E922" s="128" t="s">
        <v>624</v>
      </c>
      <c r="F922" s="128" t="s">
        <v>60</v>
      </c>
      <c r="G922" s="74">
        <f>I922+K922-1738.9+X922+AE922</f>
        <v>0</v>
      </c>
      <c r="H922" s="74">
        <f>J922+L922-1738.9+Y922+AF922</f>
        <v>-1738.9</v>
      </c>
      <c r="I922" s="102">
        <v>9999</v>
      </c>
      <c r="K922" s="100">
        <v>101</v>
      </c>
      <c r="X922" s="100">
        <v>-101</v>
      </c>
      <c r="AE922" s="100">
        <v>-8260.1</v>
      </c>
      <c r="AI922" s="100">
        <v>0</v>
      </c>
    </row>
    <row r="923" spans="1:35" ht="27.75" customHeight="1" x14ac:dyDescent="0.3">
      <c r="A923" s="119" t="s">
        <v>296</v>
      </c>
      <c r="B923" s="183">
        <v>936</v>
      </c>
      <c r="C923" s="114" t="s">
        <v>120</v>
      </c>
      <c r="D923" s="114" t="s">
        <v>113</v>
      </c>
      <c r="E923" s="118" t="s">
        <v>50</v>
      </c>
      <c r="F923" s="114" t="s">
        <v>51</v>
      </c>
      <c r="G923" s="93">
        <f>G924+G930</f>
        <v>500</v>
      </c>
      <c r="H923" s="93">
        <f>H924+H930</f>
        <v>500</v>
      </c>
      <c r="I923" s="102"/>
    </row>
    <row r="924" spans="1:35" ht="38.25" customHeight="1" x14ac:dyDescent="0.3">
      <c r="A924" s="119" t="s">
        <v>297</v>
      </c>
      <c r="B924" s="184" t="s">
        <v>288</v>
      </c>
      <c r="C924" s="114" t="s">
        <v>120</v>
      </c>
      <c r="D924" s="114" t="s">
        <v>118</v>
      </c>
      <c r="E924" s="118" t="s">
        <v>50</v>
      </c>
      <c r="F924" s="114" t="s">
        <v>51</v>
      </c>
      <c r="G924" s="93">
        <f t="shared" ref="G924:H928" si="40">G925</f>
        <v>500</v>
      </c>
      <c r="H924" s="93">
        <f t="shared" si="40"/>
        <v>500</v>
      </c>
      <c r="I924" s="102"/>
    </row>
    <row r="925" spans="1:35" ht="58.5" customHeight="1" x14ac:dyDescent="0.3">
      <c r="A925" s="121" t="s">
        <v>161</v>
      </c>
      <c r="B925" s="185" t="s">
        <v>288</v>
      </c>
      <c r="C925" s="91" t="s">
        <v>120</v>
      </c>
      <c r="D925" s="91" t="s">
        <v>118</v>
      </c>
      <c r="E925" s="123" t="s">
        <v>96</v>
      </c>
      <c r="F925" s="91" t="s">
        <v>51</v>
      </c>
      <c r="G925" s="74">
        <f t="shared" si="40"/>
        <v>500</v>
      </c>
      <c r="H925" s="74">
        <f t="shared" si="40"/>
        <v>500</v>
      </c>
      <c r="I925" s="102"/>
    </row>
    <row r="926" spans="1:35" ht="75" x14ac:dyDescent="0.3">
      <c r="A926" s="167" t="s">
        <v>6</v>
      </c>
      <c r="B926" s="91" t="s">
        <v>288</v>
      </c>
      <c r="C926" s="91" t="s">
        <v>120</v>
      </c>
      <c r="D926" s="91" t="s">
        <v>118</v>
      </c>
      <c r="E926" s="123" t="s">
        <v>99</v>
      </c>
      <c r="F926" s="91" t="s">
        <v>51</v>
      </c>
      <c r="G926" s="74">
        <f t="shared" si="40"/>
        <v>500</v>
      </c>
      <c r="H926" s="74">
        <f t="shared" si="40"/>
        <v>500</v>
      </c>
      <c r="I926" s="102"/>
    </row>
    <row r="927" spans="1:35" ht="27" customHeight="1" x14ac:dyDescent="0.3">
      <c r="A927" s="124" t="s">
        <v>63</v>
      </c>
      <c r="B927" s="91" t="s">
        <v>288</v>
      </c>
      <c r="C927" s="91" t="s">
        <v>120</v>
      </c>
      <c r="D927" s="91" t="s">
        <v>118</v>
      </c>
      <c r="E927" s="91" t="s">
        <v>301</v>
      </c>
      <c r="F927" s="91" t="s">
        <v>51</v>
      </c>
      <c r="G927" s="74">
        <f t="shared" si="40"/>
        <v>500</v>
      </c>
      <c r="H927" s="74">
        <f t="shared" si="40"/>
        <v>500</v>
      </c>
      <c r="I927" s="102"/>
    </row>
    <row r="928" spans="1:35" ht="51" customHeight="1" x14ac:dyDescent="0.3">
      <c r="A928" s="124" t="s">
        <v>300</v>
      </c>
      <c r="B928" s="91" t="s">
        <v>288</v>
      </c>
      <c r="C928" s="91" t="s">
        <v>120</v>
      </c>
      <c r="D928" s="91" t="s">
        <v>118</v>
      </c>
      <c r="E928" s="91" t="s">
        <v>302</v>
      </c>
      <c r="F928" s="91" t="s">
        <v>51</v>
      </c>
      <c r="G928" s="74">
        <f t="shared" si="40"/>
        <v>500</v>
      </c>
      <c r="H928" s="74">
        <f t="shared" si="40"/>
        <v>500</v>
      </c>
      <c r="I928" s="102"/>
    </row>
    <row r="929" spans="1:39" ht="37.5" x14ac:dyDescent="0.3">
      <c r="A929" s="124" t="s">
        <v>433</v>
      </c>
      <c r="B929" s="91" t="s">
        <v>288</v>
      </c>
      <c r="C929" s="91" t="s">
        <v>120</v>
      </c>
      <c r="D929" s="91" t="s">
        <v>118</v>
      </c>
      <c r="E929" s="91" t="s">
        <v>302</v>
      </c>
      <c r="F929" s="91" t="s">
        <v>60</v>
      </c>
      <c r="G929" s="74">
        <v>500</v>
      </c>
      <c r="H929" s="74">
        <v>500</v>
      </c>
      <c r="I929" s="102"/>
      <c r="R929" s="100">
        <v>98</v>
      </c>
      <c r="X929" s="100">
        <v>-147</v>
      </c>
      <c r="AB929" s="100">
        <v>0.8</v>
      </c>
      <c r="AI929" s="100">
        <v>205</v>
      </c>
      <c r="AL929" s="102">
        <v>0</v>
      </c>
      <c r="AM929" s="102">
        <v>0</v>
      </c>
    </row>
    <row r="930" spans="1:39" ht="47.25" hidden="1" customHeight="1" x14ac:dyDescent="0.3">
      <c r="A930" s="119" t="s">
        <v>298</v>
      </c>
      <c r="B930" s="114" t="s">
        <v>288</v>
      </c>
      <c r="C930" s="114" t="s">
        <v>120</v>
      </c>
      <c r="D930" s="114" t="s">
        <v>211</v>
      </c>
      <c r="E930" s="118" t="s">
        <v>50</v>
      </c>
      <c r="F930" s="114" t="s">
        <v>51</v>
      </c>
      <c r="G930" s="74">
        <f>G935</f>
        <v>0</v>
      </c>
      <c r="H930" s="74">
        <f>H935</f>
        <v>0</v>
      </c>
      <c r="I930" s="102"/>
    </row>
    <row r="931" spans="1:39" ht="64.5" hidden="1" customHeight="1" x14ac:dyDescent="0.3">
      <c r="A931" s="121" t="s">
        <v>161</v>
      </c>
      <c r="B931" s="185" t="s">
        <v>288</v>
      </c>
      <c r="C931" s="91" t="s">
        <v>120</v>
      </c>
      <c r="D931" s="91" t="s">
        <v>211</v>
      </c>
      <c r="E931" s="123" t="s">
        <v>96</v>
      </c>
      <c r="F931" s="91" t="s">
        <v>51</v>
      </c>
      <c r="G931" s="74">
        <f t="shared" ref="G931:H935" si="41">G932</f>
        <v>0</v>
      </c>
      <c r="H931" s="74">
        <f t="shared" si="41"/>
        <v>0</v>
      </c>
      <c r="I931" s="102"/>
    </row>
    <row r="932" spans="1:39" ht="87" hidden="1" customHeight="1" x14ac:dyDescent="0.3">
      <c r="A932" s="167" t="s">
        <v>6</v>
      </c>
      <c r="B932" s="91" t="s">
        <v>288</v>
      </c>
      <c r="C932" s="91" t="s">
        <v>120</v>
      </c>
      <c r="D932" s="91" t="s">
        <v>211</v>
      </c>
      <c r="E932" s="123" t="s">
        <v>99</v>
      </c>
      <c r="F932" s="91" t="s">
        <v>51</v>
      </c>
      <c r="G932" s="74">
        <f t="shared" si="41"/>
        <v>0</v>
      </c>
      <c r="H932" s="74">
        <f t="shared" si="41"/>
        <v>0</v>
      </c>
      <c r="I932" s="102"/>
    </row>
    <row r="933" spans="1:39" ht="47.25" hidden="1" customHeight="1" x14ac:dyDescent="0.3">
      <c r="A933" s="124" t="s">
        <v>399</v>
      </c>
      <c r="B933" s="91" t="s">
        <v>288</v>
      </c>
      <c r="C933" s="91" t="s">
        <v>120</v>
      </c>
      <c r="D933" s="91" t="s">
        <v>211</v>
      </c>
      <c r="E933" s="122" t="s">
        <v>401</v>
      </c>
      <c r="F933" s="91" t="s">
        <v>51</v>
      </c>
      <c r="G933" s="74">
        <f t="shared" si="41"/>
        <v>0</v>
      </c>
      <c r="H933" s="74">
        <f t="shared" si="41"/>
        <v>0</v>
      </c>
      <c r="I933" s="102"/>
    </row>
    <row r="934" spans="1:39" ht="27.75" hidden="1" customHeight="1" x14ac:dyDescent="0.3">
      <c r="A934" s="186" t="s">
        <v>400</v>
      </c>
      <c r="B934" s="91" t="s">
        <v>288</v>
      </c>
      <c r="C934" s="91" t="s">
        <v>120</v>
      </c>
      <c r="D934" s="91" t="s">
        <v>211</v>
      </c>
      <c r="E934" s="122" t="s">
        <v>683</v>
      </c>
      <c r="F934" s="91" t="s">
        <v>51</v>
      </c>
      <c r="G934" s="74">
        <f t="shared" si="41"/>
        <v>0</v>
      </c>
      <c r="H934" s="74">
        <f t="shared" si="41"/>
        <v>0</v>
      </c>
      <c r="I934" s="102"/>
    </row>
    <row r="935" spans="1:39" ht="70.5" hidden="1" customHeight="1" x14ac:dyDescent="0.3">
      <c r="A935" s="187" t="s">
        <v>681</v>
      </c>
      <c r="B935" s="91" t="s">
        <v>288</v>
      </c>
      <c r="C935" s="91" t="s">
        <v>120</v>
      </c>
      <c r="D935" s="91" t="s">
        <v>211</v>
      </c>
      <c r="E935" s="122" t="s">
        <v>682</v>
      </c>
      <c r="F935" s="91" t="s">
        <v>51</v>
      </c>
      <c r="G935" s="144">
        <f t="shared" si="41"/>
        <v>0</v>
      </c>
      <c r="H935" s="144">
        <f t="shared" si="41"/>
        <v>0</v>
      </c>
      <c r="I935" s="102"/>
    </row>
    <row r="936" spans="1:39" ht="37.5" hidden="1" x14ac:dyDescent="0.3">
      <c r="A936" s="124" t="s">
        <v>433</v>
      </c>
      <c r="B936" s="91" t="s">
        <v>288</v>
      </c>
      <c r="C936" s="91" t="s">
        <v>120</v>
      </c>
      <c r="D936" s="91" t="s">
        <v>211</v>
      </c>
      <c r="E936" s="122" t="s">
        <v>682</v>
      </c>
      <c r="F936" s="91" t="s">
        <v>60</v>
      </c>
      <c r="G936" s="144">
        <v>0</v>
      </c>
      <c r="H936" s="144">
        <v>0</v>
      </c>
      <c r="I936" s="102"/>
      <c r="AB936" s="100">
        <v>-0.8</v>
      </c>
      <c r="AI936" s="100">
        <v>111801.60000000001</v>
      </c>
      <c r="AL936" s="102">
        <v>0</v>
      </c>
      <c r="AM936" s="102">
        <v>0</v>
      </c>
    </row>
    <row r="937" spans="1:39" ht="37.5" hidden="1" x14ac:dyDescent="0.3">
      <c r="A937" s="124" t="s">
        <v>620</v>
      </c>
      <c r="B937" s="173">
        <v>936</v>
      </c>
      <c r="C937" s="128" t="s">
        <v>211</v>
      </c>
      <c r="D937" s="128" t="s">
        <v>118</v>
      </c>
      <c r="E937" s="122" t="s">
        <v>761</v>
      </c>
      <c r="F937" s="91" t="s">
        <v>51</v>
      </c>
      <c r="G937" s="144">
        <f>G938</f>
        <v>0</v>
      </c>
      <c r="H937" s="144">
        <f>H938</f>
        <v>0</v>
      </c>
      <c r="I937" s="102"/>
    </row>
    <row r="938" spans="1:39" ht="37.5" hidden="1" x14ac:dyDescent="0.3">
      <c r="A938" s="124" t="s">
        <v>433</v>
      </c>
      <c r="B938" s="173">
        <v>936</v>
      </c>
      <c r="C938" s="128" t="s">
        <v>211</v>
      </c>
      <c r="D938" s="128" t="s">
        <v>118</v>
      </c>
      <c r="E938" s="122" t="s">
        <v>761</v>
      </c>
      <c r="F938" s="91" t="s">
        <v>60</v>
      </c>
      <c r="G938" s="144">
        <v>0</v>
      </c>
      <c r="H938" s="144">
        <v>0</v>
      </c>
      <c r="I938" s="102"/>
    </row>
    <row r="939" spans="1:39" ht="48" customHeight="1" x14ac:dyDescent="0.3">
      <c r="A939" s="121" t="s">
        <v>12</v>
      </c>
      <c r="B939" s="9">
        <v>936</v>
      </c>
      <c r="C939" s="10" t="s">
        <v>211</v>
      </c>
      <c r="D939" s="10" t="s">
        <v>118</v>
      </c>
      <c r="E939" s="11" t="s">
        <v>103</v>
      </c>
      <c r="F939" s="10" t="s">
        <v>51</v>
      </c>
      <c r="G939" s="144">
        <f t="shared" ref="G939:H942" si="42">G940</f>
        <v>13132</v>
      </c>
      <c r="H939" s="144">
        <f t="shared" si="42"/>
        <v>13132</v>
      </c>
      <c r="I939" s="102"/>
    </row>
    <row r="940" spans="1:39" ht="37.5" x14ac:dyDescent="0.3">
      <c r="A940" s="172" t="s">
        <v>407</v>
      </c>
      <c r="B940" s="34">
        <v>936</v>
      </c>
      <c r="C940" s="29" t="s">
        <v>211</v>
      </c>
      <c r="D940" s="29" t="s">
        <v>118</v>
      </c>
      <c r="E940" s="29" t="s">
        <v>356</v>
      </c>
      <c r="F940" s="14" t="s">
        <v>51</v>
      </c>
      <c r="G940" s="144">
        <f t="shared" si="42"/>
        <v>13132</v>
      </c>
      <c r="H940" s="144">
        <f t="shared" si="42"/>
        <v>13132</v>
      </c>
      <c r="I940" s="102"/>
    </row>
    <row r="941" spans="1:39" ht="37.5" x14ac:dyDescent="0.3">
      <c r="A941" s="172" t="s">
        <v>408</v>
      </c>
      <c r="B941" s="34">
        <v>936</v>
      </c>
      <c r="C941" s="29" t="s">
        <v>211</v>
      </c>
      <c r="D941" s="29" t="s">
        <v>118</v>
      </c>
      <c r="E941" s="29" t="s">
        <v>357</v>
      </c>
      <c r="F941" s="14" t="s">
        <v>51</v>
      </c>
      <c r="G941" s="144">
        <f t="shared" si="42"/>
        <v>13132</v>
      </c>
      <c r="H941" s="144">
        <f t="shared" si="42"/>
        <v>13132</v>
      </c>
      <c r="I941" s="102"/>
    </row>
    <row r="942" spans="1:39" ht="37.5" x14ac:dyDescent="0.3">
      <c r="A942" s="130" t="s">
        <v>355</v>
      </c>
      <c r="B942" s="34">
        <v>936</v>
      </c>
      <c r="C942" s="29" t="s">
        <v>211</v>
      </c>
      <c r="D942" s="29" t="s">
        <v>118</v>
      </c>
      <c r="E942" s="29" t="s">
        <v>358</v>
      </c>
      <c r="F942" s="29" t="s">
        <v>51</v>
      </c>
      <c r="G942" s="144">
        <f t="shared" si="42"/>
        <v>13132</v>
      </c>
      <c r="H942" s="144">
        <f t="shared" si="42"/>
        <v>13132</v>
      </c>
      <c r="I942" s="102"/>
    </row>
    <row r="943" spans="1:39" ht="37.5" x14ac:dyDescent="0.3">
      <c r="A943" s="124" t="s">
        <v>433</v>
      </c>
      <c r="B943" s="244">
        <v>936</v>
      </c>
      <c r="C943" s="29" t="s">
        <v>211</v>
      </c>
      <c r="D943" s="29" t="s">
        <v>118</v>
      </c>
      <c r="E943" s="29" t="s">
        <v>358</v>
      </c>
      <c r="F943" s="29" t="s">
        <v>60</v>
      </c>
      <c r="G943" s="144">
        <f>13000+132</f>
        <v>13132</v>
      </c>
      <c r="H943" s="144">
        <f>13000+132</f>
        <v>13132</v>
      </c>
      <c r="I943" s="102"/>
    </row>
    <row r="944" spans="1:39" x14ac:dyDescent="0.3">
      <c r="A944" s="119" t="s">
        <v>123</v>
      </c>
      <c r="B944" s="114" t="s">
        <v>288</v>
      </c>
      <c r="C944" s="114" t="s">
        <v>124</v>
      </c>
      <c r="D944" s="114" t="s">
        <v>113</v>
      </c>
      <c r="E944" s="118" t="s">
        <v>50</v>
      </c>
      <c r="F944" s="114" t="s">
        <v>51</v>
      </c>
      <c r="G944" s="93">
        <f>G954+G971+G993+G1020</f>
        <v>20952.200000000004</v>
      </c>
      <c r="H944" s="93">
        <f>H954+H971+H993+H1020</f>
        <v>20952.200000000004</v>
      </c>
      <c r="I944" s="102"/>
    </row>
    <row r="945" spans="1:39" ht="60.75" hidden="1" customHeight="1" x14ac:dyDescent="0.3">
      <c r="A945" s="121" t="s">
        <v>161</v>
      </c>
      <c r="B945" s="91" t="s">
        <v>288</v>
      </c>
      <c r="C945" s="91" t="s">
        <v>120</v>
      </c>
      <c r="D945" s="91" t="s">
        <v>211</v>
      </c>
      <c r="E945" s="123" t="s">
        <v>96</v>
      </c>
      <c r="F945" s="91" t="s">
        <v>51</v>
      </c>
      <c r="G945" s="74">
        <f>G946</f>
        <v>0</v>
      </c>
      <c r="H945" s="74">
        <f>H946</f>
        <v>0</v>
      </c>
      <c r="I945" s="102"/>
    </row>
    <row r="946" spans="1:39" ht="75" hidden="1" x14ac:dyDescent="0.3">
      <c r="A946" s="167" t="s">
        <v>6</v>
      </c>
      <c r="B946" s="91" t="s">
        <v>288</v>
      </c>
      <c r="C946" s="91" t="s">
        <v>120</v>
      </c>
      <c r="D946" s="91" t="s">
        <v>211</v>
      </c>
      <c r="E946" s="123" t="s">
        <v>99</v>
      </c>
      <c r="F946" s="91" t="s">
        <v>51</v>
      </c>
      <c r="G946" s="74">
        <f>G952+G954+G947</f>
        <v>0</v>
      </c>
      <c r="H946" s="74">
        <f>H952+H954+H947</f>
        <v>0</v>
      </c>
      <c r="I946" s="102"/>
    </row>
    <row r="947" spans="1:39" hidden="1" x14ac:dyDescent="0.3">
      <c r="A947" s="124" t="s">
        <v>63</v>
      </c>
      <c r="B947" s="91" t="s">
        <v>288</v>
      </c>
      <c r="C947" s="91" t="s">
        <v>120</v>
      </c>
      <c r="D947" s="91" t="s">
        <v>211</v>
      </c>
      <c r="E947" s="91" t="s">
        <v>301</v>
      </c>
      <c r="F947" s="91" t="s">
        <v>51</v>
      </c>
      <c r="G947" s="74">
        <f>G948</f>
        <v>0</v>
      </c>
      <c r="H947" s="74">
        <f>H948</f>
        <v>0</v>
      </c>
      <c r="I947" s="102"/>
    </row>
    <row r="948" spans="1:39" ht="37.5" hidden="1" x14ac:dyDescent="0.3">
      <c r="A948" s="124" t="s">
        <v>300</v>
      </c>
      <c r="B948" s="91" t="s">
        <v>288</v>
      </c>
      <c r="C948" s="91" t="s">
        <v>120</v>
      </c>
      <c r="D948" s="91" t="s">
        <v>211</v>
      </c>
      <c r="E948" s="91" t="s">
        <v>302</v>
      </c>
      <c r="F948" s="91" t="s">
        <v>51</v>
      </c>
      <c r="G948" s="74">
        <f>G949</f>
        <v>0</v>
      </c>
      <c r="H948" s="74">
        <f>H949</f>
        <v>0</v>
      </c>
      <c r="I948" s="102"/>
    </row>
    <row r="949" spans="1:39" ht="37.5" hidden="1" x14ac:dyDescent="0.3">
      <c r="A949" s="124" t="s">
        <v>433</v>
      </c>
      <c r="B949" s="91" t="s">
        <v>288</v>
      </c>
      <c r="C949" s="91" t="s">
        <v>120</v>
      </c>
      <c r="D949" s="91" t="s">
        <v>211</v>
      </c>
      <c r="E949" s="91" t="s">
        <v>302</v>
      </c>
      <c r="F949" s="91" t="s">
        <v>60</v>
      </c>
      <c r="G949" s="74">
        <v>0</v>
      </c>
      <c r="H949" s="74">
        <v>0</v>
      </c>
      <c r="I949" s="102"/>
    </row>
    <row r="950" spans="1:39" ht="37.5" hidden="1" x14ac:dyDescent="0.3">
      <c r="A950" s="124" t="s">
        <v>399</v>
      </c>
      <c r="B950" s="91" t="s">
        <v>288</v>
      </c>
      <c r="C950" s="91" t="s">
        <v>120</v>
      </c>
      <c r="D950" s="91" t="s">
        <v>211</v>
      </c>
      <c r="E950" s="91" t="s">
        <v>401</v>
      </c>
      <c r="F950" s="91" t="s">
        <v>51</v>
      </c>
      <c r="G950" s="74">
        <f t="shared" ref="G950:H952" si="43">G951</f>
        <v>0</v>
      </c>
      <c r="H950" s="74">
        <f t="shared" si="43"/>
        <v>0</v>
      </c>
      <c r="I950" s="102"/>
    </row>
    <row r="951" spans="1:39" hidden="1" x14ac:dyDescent="0.3">
      <c r="A951" s="124" t="s">
        <v>400</v>
      </c>
      <c r="B951" s="91" t="s">
        <v>288</v>
      </c>
      <c r="C951" s="91" t="s">
        <v>120</v>
      </c>
      <c r="D951" s="91" t="s">
        <v>211</v>
      </c>
      <c r="E951" s="91" t="s">
        <v>402</v>
      </c>
      <c r="F951" s="91" t="s">
        <v>51</v>
      </c>
      <c r="G951" s="74">
        <f t="shared" si="43"/>
        <v>0</v>
      </c>
      <c r="H951" s="74">
        <f t="shared" si="43"/>
        <v>0</v>
      </c>
      <c r="I951" s="102"/>
    </row>
    <row r="952" spans="1:39" ht="75" hidden="1" x14ac:dyDescent="0.3">
      <c r="A952" s="124" t="s">
        <v>299</v>
      </c>
      <c r="B952" s="91" t="s">
        <v>288</v>
      </c>
      <c r="C952" s="91" t="s">
        <v>120</v>
      </c>
      <c r="D952" s="91" t="s">
        <v>211</v>
      </c>
      <c r="E952" s="91" t="s">
        <v>402</v>
      </c>
      <c r="F952" s="91" t="s">
        <v>51</v>
      </c>
      <c r="G952" s="144">
        <f t="shared" si="43"/>
        <v>0</v>
      </c>
      <c r="H952" s="144">
        <f t="shared" si="43"/>
        <v>0</v>
      </c>
      <c r="I952" s="102"/>
    </row>
    <row r="953" spans="1:39" ht="37.5" hidden="1" x14ac:dyDescent="0.3">
      <c r="A953" s="124" t="s">
        <v>433</v>
      </c>
      <c r="B953" s="91" t="s">
        <v>288</v>
      </c>
      <c r="C953" s="91" t="s">
        <v>120</v>
      </c>
      <c r="D953" s="91" t="s">
        <v>211</v>
      </c>
      <c r="E953" s="91" t="s">
        <v>402</v>
      </c>
      <c r="F953" s="91" t="s">
        <v>60</v>
      </c>
      <c r="G953" s="144">
        <v>0</v>
      </c>
      <c r="H953" s="144">
        <v>0</v>
      </c>
      <c r="I953" s="102"/>
    </row>
    <row r="954" spans="1:39" ht="29.25" hidden="1" customHeight="1" x14ac:dyDescent="0.3">
      <c r="A954" s="119" t="s">
        <v>126</v>
      </c>
      <c r="B954" s="118">
        <v>936</v>
      </c>
      <c r="C954" s="114" t="s">
        <v>124</v>
      </c>
      <c r="D954" s="120" t="s">
        <v>117</v>
      </c>
      <c r="E954" s="118" t="s">
        <v>50</v>
      </c>
      <c r="F954" s="114" t="s">
        <v>51</v>
      </c>
      <c r="G954" s="93">
        <f>G955</f>
        <v>0</v>
      </c>
      <c r="H954" s="93">
        <f>H955</f>
        <v>0</v>
      </c>
      <c r="I954" s="102"/>
    </row>
    <row r="955" spans="1:39" ht="49.5" hidden="1" customHeight="1" x14ac:dyDescent="0.3">
      <c r="A955" s="124" t="s">
        <v>38</v>
      </c>
      <c r="B955" s="122">
        <v>936</v>
      </c>
      <c r="C955" s="91" t="s">
        <v>124</v>
      </c>
      <c r="D955" s="105" t="s">
        <v>117</v>
      </c>
      <c r="E955" s="123" t="s">
        <v>406</v>
      </c>
      <c r="F955" s="91" t="s">
        <v>51</v>
      </c>
      <c r="G955" s="74">
        <f>G956</f>
        <v>0</v>
      </c>
      <c r="H955" s="74">
        <f>H956</f>
        <v>0</v>
      </c>
      <c r="I955" s="102"/>
    </row>
    <row r="956" spans="1:39" ht="63" hidden="1" customHeight="1" collapsed="1" x14ac:dyDescent="0.3">
      <c r="A956" s="121" t="s">
        <v>139</v>
      </c>
      <c r="B956" s="122">
        <v>936</v>
      </c>
      <c r="C956" s="91" t="s">
        <v>124</v>
      </c>
      <c r="D956" s="105" t="s">
        <v>117</v>
      </c>
      <c r="E956" s="123" t="s">
        <v>52</v>
      </c>
      <c r="F956" s="91" t="s">
        <v>51</v>
      </c>
      <c r="G956" s="74">
        <f>G957+G964+G962+G967+G969</f>
        <v>0</v>
      </c>
      <c r="H956" s="74">
        <f>H957+H964+H962+H967+H969</f>
        <v>0</v>
      </c>
      <c r="I956" s="102"/>
    </row>
    <row r="957" spans="1:39" ht="43.5" hidden="1" customHeight="1" x14ac:dyDescent="0.3">
      <c r="A957" s="124" t="s">
        <v>53</v>
      </c>
      <c r="B957" s="91" t="s">
        <v>288</v>
      </c>
      <c r="C957" s="91" t="s">
        <v>124</v>
      </c>
      <c r="D957" s="91" t="s">
        <v>117</v>
      </c>
      <c r="E957" s="91" t="s">
        <v>54</v>
      </c>
      <c r="F957" s="91" t="s">
        <v>51</v>
      </c>
      <c r="G957" s="74">
        <f>G958+G960</f>
        <v>0</v>
      </c>
      <c r="H957" s="74">
        <f>H958+H960</f>
        <v>0</v>
      </c>
      <c r="I957" s="102"/>
    </row>
    <row r="958" spans="1:39" ht="33.75" hidden="1" customHeight="1" x14ac:dyDescent="0.3">
      <c r="A958" s="124" t="s">
        <v>74</v>
      </c>
      <c r="B958" s="91" t="s">
        <v>288</v>
      </c>
      <c r="C958" s="91" t="s">
        <v>124</v>
      </c>
      <c r="D958" s="91" t="s">
        <v>117</v>
      </c>
      <c r="E958" s="91" t="s">
        <v>39</v>
      </c>
      <c r="F958" s="91" t="s">
        <v>51</v>
      </c>
      <c r="G958" s="74">
        <f>G959</f>
        <v>0</v>
      </c>
      <c r="H958" s="74">
        <f>H959</f>
        <v>0</v>
      </c>
      <c r="I958" s="102"/>
      <c r="AL958" s="100"/>
      <c r="AM958" s="100"/>
    </row>
    <row r="959" spans="1:39" ht="45" hidden="1" customHeight="1" x14ac:dyDescent="0.3">
      <c r="A959" s="124" t="s">
        <v>267</v>
      </c>
      <c r="B959" s="91" t="s">
        <v>288</v>
      </c>
      <c r="C959" s="91" t="s">
        <v>124</v>
      </c>
      <c r="D959" s="91" t="s">
        <v>117</v>
      </c>
      <c r="E959" s="91" t="s">
        <v>39</v>
      </c>
      <c r="F959" s="91" t="s">
        <v>264</v>
      </c>
      <c r="G959" s="74">
        <v>0</v>
      </c>
      <c r="H959" s="74">
        <v>0</v>
      </c>
      <c r="I959" s="102"/>
      <c r="J959" s="100">
        <v>-4269.2</v>
      </c>
      <c r="AL959" s="100"/>
      <c r="AM959" s="100"/>
    </row>
    <row r="960" spans="1:39" ht="37.5" hidden="1" x14ac:dyDescent="0.3">
      <c r="A960" s="125" t="s">
        <v>377</v>
      </c>
      <c r="B960" s="91" t="s">
        <v>288</v>
      </c>
      <c r="C960" s="91" t="s">
        <v>124</v>
      </c>
      <c r="D960" s="91" t="s">
        <v>117</v>
      </c>
      <c r="E960" s="91" t="s">
        <v>380</v>
      </c>
      <c r="F960" s="91" t="s">
        <v>51</v>
      </c>
      <c r="G960" s="74">
        <f>G961</f>
        <v>0</v>
      </c>
      <c r="H960" s="74">
        <f>H961</f>
        <v>0</v>
      </c>
      <c r="I960" s="102"/>
      <c r="AL960" s="100"/>
      <c r="AM960" s="100"/>
    </row>
    <row r="961" spans="1:39" ht="56.25" hidden="1" x14ac:dyDescent="0.3">
      <c r="A961" s="124" t="s">
        <v>267</v>
      </c>
      <c r="B961" s="91" t="s">
        <v>288</v>
      </c>
      <c r="C961" s="91" t="s">
        <v>124</v>
      </c>
      <c r="D961" s="91" t="s">
        <v>117</v>
      </c>
      <c r="E961" s="91" t="s">
        <v>380</v>
      </c>
      <c r="F961" s="91" t="s">
        <v>264</v>
      </c>
      <c r="G961" s="74">
        <v>0</v>
      </c>
      <c r="H961" s="74">
        <v>0</v>
      </c>
      <c r="I961" s="102"/>
      <c r="J961" s="100">
        <v>-733.5</v>
      </c>
      <c r="AL961" s="100"/>
      <c r="AM961" s="100"/>
    </row>
    <row r="962" spans="1:39" ht="44.25" hidden="1" customHeight="1" x14ac:dyDescent="0.3">
      <c r="A962" s="124" t="s">
        <v>69</v>
      </c>
      <c r="B962" s="122">
        <v>936</v>
      </c>
      <c r="C962" s="91" t="s">
        <v>124</v>
      </c>
      <c r="D962" s="105" t="s">
        <v>117</v>
      </c>
      <c r="E962" s="91" t="s">
        <v>70</v>
      </c>
      <c r="F962" s="91" t="s">
        <v>51</v>
      </c>
      <c r="G962" s="74">
        <f>G963</f>
        <v>0</v>
      </c>
      <c r="H962" s="74">
        <f>H963</f>
        <v>0</v>
      </c>
      <c r="I962" s="102"/>
      <c r="AL962" s="100"/>
      <c r="AM962" s="100"/>
    </row>
    <row r="963" spans="1:39" ht="99" hidden="1" customHeight="1" x14ac:dyDescent="0.3">
      <c r="A963" s="124" t="s">
        <v>77</v>
      </c>
      <c r="B963" s="122">
        <v>936</v>
      </c>
      <c r="C963" s="91" t="s">
        <v>124</v>
      </c>
      <c r="D963" s="105" t="s">
        <v>117</v>
      </c>
      <c r="E963" s="91" t="s">
        <v>41</v>
      </c>
      <c r="F963" s="91" t="s">
        <v>51</v>
      </c>
      <c r="G963" s="74">
        <f>G966</f>
        <v>0</v>
      </c>
      <c r="H963" s="74">
        <f>H966</f>
        <v>0</v>
      </c>
      <c r="I963" s="102"/>
      <c r="AL963" s="100"/>
      <c r="AM963" s="100"/>
    </row>
    <row r="964" spans="1:39" ht="24.75" hidden="1" customHeight="1" x14ac:dyDescent="0.3">
      <c r="A964" s="124" t="s">
        <v>82</v>
      </c>
      <c r="B964" s="91" t="s">
        <v>288</v>
      </c>
      <c r="C964" s="91" t="s">
        <v>124</v>
      </c>
      <c r="D964" s="91" t="s">
        <v>117</v>
      </c>
      <c r="E964" s="91" t="s">
        <v>150</v>
      </c>
      <c r="F964" s="91" t="s">
        <v>51</v>
      </c>
      <c r="G964" s="74">
        <f>G965</f>
        <v>0</v>
      </c>
      <c r="H964" s="74">
        <f>H965</f>
        <v>0</v>
      </c>
      <c r="I964" s="102"/>
      <c r="AL964" s="100"/>
      <c r="AM964" s="100"/>
    </row>
    <row r="965" spans="1:39" ht="44.25" hidden="1" customHeight="1" x14ac:dyDescent="0.3">
      <c r="A965" s="124" t="s">
        <v>267</v>
      </c>
      <c r="B965" s="91" t="s">
        <v>288</v>
      </c>
      <c r="C965" s="91" t="s">
        <v>124</v>
      </c>
      <c r="D965" s="91" t="s">
        <v>117</v>
      </c>
      <c r="E965" s="91" t="s">
        <v>150</v>
      </c>
      <c r="F965" s="91" t="s">
        <v>264</v>
      </c>
      <c r="G965" s="74">
        <v>0</v>
      </c>
      <c r="H965" s="74">
        <v>0</v>
      </c>
      <c r="I965" s="102"/>
      <c r="AL965" s="100"/>
      <c r="AM965" s="100"/>
    </row>
    <row r="966" spans="1:39" ht="44.25" hidden="1" customHeight="1" x14ac:dyDescent="0.3">
      <c r="A966" s="124" t="s">
        <v>267</v>
      </c>
      <c r="B966" s="122">
        <v>936</v>
      </c>
      <c r="C966" s="91" t="s">
        <v>124</v>
      </c>
      <c r="D966" s="105" t="s">
        <v>117</v>
      </c>
      <c r="E966" s="91" t="s">
        <v>41</v>
      </c>
      <c r="F966" s="91" t="s">
        <v>264</v>
      </c>
      <c r="G966" s="74">
        <v>0</v>
      </c>
      <c r="H966" s="74">
        <v>0</v>
      </c>
      <c r="I966" s="102"/>
      <c r="J966" s="100">
        <v>-26466</v>
      </c>
      <c r="AL966" s="100"/>
      <c r="AM966" s="100"/>
    </row>
    <row r="967" spans="1:39" ht="56.25" hidden="1" x14ac:dyDescent="0.3">
      <c r="A967" s="124" t="s">
        <v>485</v>
      </c>
      <c r="B967" s="122">
        <v>936</v>
      </c>
      <c r="C967" s="91" t="s">
        <v>124</v>
      </c>
      <c r="D967" s="105" t="s">
        <v>117</v>
      </c>
      <c r="E967" s="91" t="s">
        <v>486</v>
      </c>
      <c r="F967" s="91" t="s">
        <v>51</v>
      </c>
      <c r="G967" s="74">
        <v>0</v>
      </c>
      <c r="H967" s="74">
        <v>0</v>
      </c>
      <c r="I967" s="102"/>
      <c r="J967" s="100">
        <v>-2615.9</v>
      </c>
      <c r="AL967" s="100"/>
      <c r="AM967" s="100"/>
    </row>
    <row r="968" spans="1:39" ht="59.25" hidden="1" customHeight="1" x14ac:dyDescent="0.3">
      <c r="A968" s="124" t="s">
        <v>267</v>
      </c>
      <c r="B968" s="122">
        <v>936</v>
      </c>
      <c r="C968" s="91" t="s">
        <v>124</v>
      </c>
      <c r="D968" s="105" t="s">
        <v>117</v>
      </c>
      <c r="E968" s="91" t="s">
        <v>486</v>
      </c>
      <c r="F968" s="91" t="s">
        <v>264</v>
      </c>
      <c r="G968" s="74">
        <v>0</v>
      </c>
      <c r="H968" s="74">
        <v>0</v>
      </c>
      <c r="I968" s="102"/>
      <c r="AL968" s="100"/>
      <c r="AM968" s="100"/>
    </row>
    <row r="969" spans="1:39" ht="69" hidden="1" customHeight="1" x14ac:dyDescent="0.3">
      <c r="A969" s="124" t="s">
        <v>483</v>
      </c>
      <c r="B969" s="122">
        <v>936</v>
      </c>
      <c r="C969" s="91" t="s">
        <v>124</v>
      </c>
      <c r="D969" s="105" t="s">
        <v>117</v>
      </c>
      <c r="E969" s="91" t="s">
        <v>484</v>
      </c>
      <c r="F969" s="91" t="s">
        <v>51</v>
      </c>
      <c r="G969" s="74">
        <f>G970</f>
        <v>0</v>
      </c>
      <c r="H969" s="74">
        <f>H970</f>
        <v>0</v>
      </c>
      <c r="I969" s="102"/>
      <c r="AL969" s="100"/>
      <c r="AM969" s="100"/>
    </row>
    <row r="970" spans="1:39" ht="63" hidden="1" customHeight="1" x14ac:dyDescent="0.3">
      <c r="A970" s="124" t="s">
        <v>267</v>
      </c>
      <c r="B970" s="122">
        <v>936</v>
      </c>
      <c r="C970" s="91" t="s">
        <v>124</v>
      </c>
      <c r="D970" s="105" t="s">
        <v>117</v>
      </c>
      <c r="E970" s="91" t="s">
        <v>484</v>
      </c>
      <c r="F970" s="91" t="s">
        <v>264</v>
      </c>
      <c r="G970" s="74">
        <v>0</v>
      </c>
      <c r="H970" s="74">
        <v>0</v>
      </c>
      <c r="I970" s="102"/>
      <c r="J970" s="100">
        <v>-3028.6</v>
      </c>
      <c r="AL970" s="100"/>
      <c r="AM970" s="100"/>
    </row>
    <row r="971" spans="1:39" ht="36" customHeight="1" x14ac:dyDescent="0.3">
      <c r="A971" s="119" t="s">
        <v>127</v>
      </c>
      <c r="B971" s="118">
        <v>936</v>
      </c>
      <c r="C971" s="114" t="s">
        <v>124</v>
      </c>
      <c r="D971" s="120" t="s">
        <v>118</v>
      </c>
      <c r="E971" s="114" t="s">
        <v>50</v>
      </c>
      <c r="F971" s="114" t="s">
        <v>51</v>
      </c>
      <c r="G971" s="93">
        <f>G972+G985</f>
        <v>20871.300000000003</v>
      </c>
      <c r="H971" s="93">
        <f>H972+H985</f>
        <v>20871.300000000003</v>
      </c>
      <c r="I971" s="102"/>
      <c r="AL971" s="100"/>
      <c r="AM971" s="100"/>
    </row>
    <row r="972" spans="1:39" ht="48" customHeight="1" x14ac:dyDescent="0.3">
      <c r="A972" s="124" t="s">
        <v>38</v>
      </c>
      <c r="B972" s="122">
        <v>936</v>
      </c>
      <c r="C972" s="91" t="s">
        <v>124</v>
      </c>
      <c r="D972" s="105" t="s">
        <v>118</v>
      </c>
      <c r="E972" s="123" t="s">
        <v>406</v>
      </c>
      <c r="F972" s="91" t="s">
        <v>51</v>
      </c>
      <c r="G972" s="74">
        <f>G973</f>
        <v>20871.300000000003</v>
      </c>
      <c r="H972" s="74">
        <f>H973</f>
        <v>20871.300000000003</v>
      </c>
      <c r="I972" s="102"/>
      <c r="AL972" s="100"/>
      <c r="AM972" s="100"/>
    </row>
    <row r="973" spans="1:39" ht="54.75" customHeight="1" x14ac:dyDescent="0.3">
      <c r="A973" s="121" t="s">
        <v>139</v>
      </c>
      <c r="B973" s="122">
        <v>936</v>
      </c>
      <c r="C973" s="91" t="s">
        <v>124</v>
      </c>
      <c r="D973" s="105" t="s">
        <v>118</v>
      </c>
      <c r="E973" s="123" t="s">
        <v>52</v>
      </c>
      <c r="F973" s="91" t="s">
        <v>51</v>
      </c>
      <c r="G973" s="74">
        <f>G974</f>
        <v>20871.300000000003</v>
      </c>
      <c r="H973" s="74">
        <f>H974</f>
        <v>20871.300000000003</v>
      </c>
      <c r="I973" s="102"/>
      <c r="AL973" s="100"/>
      <c r="AM973" s="100"/>
    </row>
    <row r="974" spans="1:39" ht="37.5" x14ac:dyDescent="0.3">
      <c r="A974" s="124" t="s">
        <v>53</v>
      </c>
      <c r="B974" s="91" t="s">
        <v>288</v>
      </c>
      <c r="C974" s="91" t="s">
        <v>124</v>
      </c>
      <c r="D974" s="91" t="s">
        <v>118</v>
      </c>
      <c r="E974" s="91" t="s">
        <v>54</v>
      </c>
      <c r="F974" s="91" t="s">
        <v>51</v>
      </c>
      <c r="G974" s="74">
        <f>G979+G981</f>
        <v>20871.300000000003</v>
      </c>
      <c r="H974" s="74">
        <f>H979+H981</f>
        <v>20871.300000000003</v>
      </c>
      <c r="I974" s="102"/>
    </row>
    <row r="975" spans="1:39" ht="39" hidden="1" customHeight="1" x14ac:dyDescent="0.3">
      <c r="A975" s="124" t="s">
        <v>75</v>
      </c>
      <c r="B975" s="91" t="s">
        <v>288</v>
      </c>
      <c r="C975" s="91" t="s">
        <v>124</v>
      </c>
      <c r="D975" s="91" t="s">
        <v>118</v>
      </c>
      <c r="E975" s="91" t="s">
        <v>43</v>
      </c>
      <c r="F975" s="91" t="s">
        <v>51</v>
      </c>
      <c r="G975" s="74">
        <f>G976+G978</f>
        <v>0</v>
      </c>
      <c r="H975" s="74">
        <f>H976+H978</f>
        <v>0</v>
      </c>
      <c r="I975" s="102"/>
    </row>
    <row r="976" spans="1:39" ht="56.25" hidden="1" x14ac:dyDescent="0.3">
      <c r="A976" s="124" t="s">
        <v>267</v>
      </c>
      <c r="B976" s="91" t="s">
        <v>288</v>
      </c>
      <c r="C976" s="91" t="s">
        <v>124</v>
      </c>
      <c r="D976" s="91" t="s">
        <v>118</v>
      </c>
      <c r="E976" s="91" t="s">
        <v>43</v>
      </c>
      <c r="F976" s="91" t="s">
        <v>264</v>
      </c>
      <c r="G976" s="74">
        <v>0</v>
      </c>
      <c r="H976" s="74">
        <v>0</v>
      </c>
      <c r="I976" s="102"/>
      <c r="J976" s="100">
        <v>-13459.5</v>
      </c>
    </row>
    <row r="977" spans="1:54" ht="37.5" hidden="1" x14ac:dyDescent="0.3">
      <c r="A977" s="125" t="s">
        <v>377</v>
      </c>
      <c r="B977" s="91" t="s">
        <v>288</v>
      </c>
      <c r="C977" s="91" t="s">
        <v>124</v>
      </c>
      <c r="D977" s="91" t="s">
        <v>118</v>
      </c>
      <c r="E977" s="91" t="s">
        <v>514</v>
      </c>
      <c r="F977" s="91" t="s">
        <v>51</v>
      </c>
      <c r="G977" s="74">
        <f>G978</f>
        <v>0</v>
      </c>
      <c r="H977" s="74">
        <f>H978</f>
        <v>0</v>
      </c>
      <c r="I977" s="102"/>
    </row>
    <row r="978" spans="1:54" ht="46.5" hidden="1" customHeight="1" x14ac:dyDescent="0.3">
      <c r="A978" s="124" t="s">
        <v>267</v>
      </c>
      <c r="B978" s="91" t="s">
        <v>288</v>
      </c>
      <c r="C978" s="91" t="s">
        <v>124</v>
      </c>
      <c r="D978" s="91" t="s">
        <v>118</v>
      </c>
      <c r="E978" s="91" t="s">
        <v>514</v>
      </c>
      <c r="F978" s="91" t="s">
        <v>264</v>
      </c>
      <c r="G978" s="74">
        <v>0</v>
      </c>
      <c r="H978" s="74">
        <v>0</v>
      </c>
      <c r="I978" s="102"/>
      <c r="J978" s="100">
        <v>-60</v>
      </c>
    </row>
    <row r="979" spans="1:54" ht="33" customHeight="1" x14ac:dyDescent="0.3">
      <c r="A979" s="124" t="s">
        <v>569</v>
      </c>
      <c r="B979" s="91" t="s">
        <v>288</v>
      </c>
      <c r="C979" s="91" t="s">
        <v>124</v>
      </c>
      <c r="D979" s="91" t="s">
        <v>118</v>
      </c>
      <c r="E979" s="91" t="s">
        <v>571</v>
      </c>
      <c r="F979" s="91" t="s">
        <v>51</v>
      </c>
      <c r="G979" s="74">
        <f>G980</f>
        <v>6882.1</v>
      </c>
      <c r="H979" s="74">
        <f>H980</f>
        <v>6882.1</v>
      </c>
      <c r="I979" s="102"/>
    </row>
    <row r="980" spans="1:54" ht="46.5" customHeight="1" x14ac:dyDescent="0.3">
      <c r="A980" s="124" t="s">
        <v>267</v>
      </c>
      <c r="B980" s="91" t="s">
        <v>288</v>
      </c>
      <c r="C980" s="91" t="s">
        <v>124</v>
      </c>
      <c r="D980" s="91" t="s">
        <v>118</v>
      </c>
      <c r="E980" s="91" t="s">
        <v>571</v>
      </c>
      <c r="F980" s="91" t="s">
        <v>264</v>
      </c>
      <c r="G980" s="74">
        <f>294.6+6444.7+142.8</f>
        <v>6882.1</v>
      </c>
      <c r="H980" s="74">
        <f>294.6+6444.7+142.8</f>
        <v>6882.1</v>
      </c>
      <c r="I980" s="102"/>
      <c r="J980" s="100">
        <v>4198</v>
      </c>
      <c r="AC980" s="100">
        <v>13.7</v>
      </c>
      <c r="AE980" s="100">
        <v>469.1</v>
      </c>
      <c r="AI980" s="100">
        <v>5133.1000000000004</v>
      </c>
      <c r="AL980" s="102">
        <v>5012.8999999999996</v>
      </c>
      <c r="AM980" s="102">
        <v>5012.8999999999996</v>
      </c>
      <c r="AR980" s="101">
        <f>5327.8+315.3</f>
        <v>5643.1</v>
      </c>
      <c r="AT980" s="101">
        <f>5327.8+315.3</f>
        <v>5643.1</v>
      </c>
      <c r="BA980" s="227">
        <v>6128.4</v>
      </c>
      <c r="BB980" s="223">
        <v>6128.4</v>
      </c>
    </row>
    <row r="981" spans="1:54" ht="27.75" customHeight="1" x14ac:dyDescent="0.3">
      <c r="A981" s="124" t="s">
        <v>570</v>
      </c>
      <c r="B981" s="91" t="s">
        <v>288</v>
      </c>
      <c r="C981" s="91" t="s">
        <v>124</v>
      </c>
      <c r="D981" s="91" t="s">
        <v>118</v>
      </c>
      <c r="E981" s="91" t="s">
        <v>572</v>
      </c>
      <c r="F981" s="91" t="s">
        <v>51</v>
      </c>
      <c r="G981" s="74">
        <f>G982+G984</f>
        <v>13989.2</v>
      </c>
      <c r="H981" s="74">
        <f>H982+H984</f>
        <v>13989.2</v>
      </c>
      <c r="I981" s="102"/>
    </row>
    <row r="982" spans="1:54" ht="46.5" customHeight="1" x14ac:dyDescent="0.3">
      <c r="A982" s="124" t="s">
        <v>267</v>
      </c>
      <c r="B982" s="91" t="s">
        <v>288</v>
      </c>
      <c r="C982" s="91" t="s">
        <v>124</v>
      </c>
      <c r="D982" s="91" t="s">
        <v>118</v>
      </c>
      <c r="E982" s="91" t="s">
        <v>572</v>
      </c>
      <c r="F982" s="91" t="s">
        <v>264</v>
      </c>
      <c r="G982" s="74">
        <f>43.5+11876.1+1919.6+150</f>
        <v>13989.2</v>
      </c>
      <c r="H982" s="74">
        <f>43.5+11876.1+1919.6+150</f>
        <v>13989.2</v>
      </c>
      <c r="I982" s="102"/>
      <c r="J982" s="100">
        <v>9261.5</v>
      </c>
      <c r="K982" s="100">
        <v>-52</v>
      </c>
      <c r="AI982" s="100">
        <v>9376.2999999999993</v>
      </c>
      <c r="AL982" s="102">
        <v>9200.2000000000007</v>
      </c>
      <c r="AM982" s="102">
        <v>9200.2000000000007</v>
      </c>
      <c r="AR982" s="101">
        <f>9525.1+1564.1</f>
        <v>11089.2</v>
      </c>
      <c r="AT982" s="101">
        <f>9525.1+1564.1</f>
        <v>11089.2</v>
      </c>
      <c r="BA982" s="227">
        <v>11559.9</v>
      </c>
      <c r="BB982" s="223">
        <v>11559.9</v>
      </c>
    </row>
    <row r="983" spans="1:54" ht="46.5" hidden="1" customHeight="1" x14ac:dyDescent="0.3">
      <c r="A983" s="125" t="s">
        <v>377</v>
      </c>
      <c r="B983" s="91" t="s">
        <v>288</v>
      </c>
      <c r="C983" s="91" t="s">
        <v>124</v>
      </c>
      <c r="D983" s="91" t="s">
        <v>118</v>
      </c>
      <c r="E983" s="91" t="s">
        <v>573</v>
      </c>
      <c r="F983" s="91" t="s">
        <v>51</v>
      </c>
      <c r="G983" s="74">
        <f>G984</f>
        <v>0</v>
      </c>
      <c r="H983" s="74">
        <f>H984</f>
        <v>0</v>
      </c>
      <c r="I983" s="102"/>
    </row>
    <row r="984" spans="1:54" ht="39" hidden="1" customHeight="1" x14ac:dyDescent="0.3">
      <c r="A984" s="124" t="s">
        <v>267</v>
      </c>
      <c r="B984" s="91" t="s">
        <v>288</v>
      </c>
      <c r="C984" s="91" t="s">
        <v>124</v>
      </c>
      <c r="D984" s="91" t="s">
        <v>118</v>
      </c>
      <c r="E984" s="91" t="s">
        <v>573</v>
      </c>
      <c r="F984" s="91" t="s">
        <v>264</v>
      </c>
      <c r="G984" s="74">
        <v>0</v>
      </c>
      <c r="H984" s="74">
        <v>0</v>
      </c>
      <c r="I984" s="102"/>
      <c r="J984" s="100">
        <v>60</v>
      </c>
      <c r="AD984" s="100">
        <v>-19.446000000000002</v>
      </c>
      <c r="AI984" s="100">
        <v>0</v>
      </c>
    </row>
    <row r="985" spans="1:54" ht="45.75" hidden="1" customHeight="1" x14ac:dyDescent="0.3">
      <c r="A985" s="121" t="s">
        <v>159</v>
      </c>
      <c r="B985" s="91" t="s">
        <v>288</v>
      </c>
      <c r="C985" s="91" t="s">
        <v>124</v>
      </c>
      <c r="D985" s="91" t="s">
        <v>118</v>
      </c>
      <c r="E985" s="91" t="s">
        <v>86</v>
      </c>
      <c r="F985" s="91" t="s">
        <v>51</v>
      </c>
      <c r="G985" s="74">
        <f>G986</f>
        <v>0</v>
      </c>
      <c r="H985" s="74">
        <f>H986</f>
        <v>0</v>
      </c>
      <c r="I985" s="102"/>
    </row>
    <row r="986" spans="1:54" ht="27" hidden="1" customHeight="1" x14ac:dyDescent="0.3">
      <c r="A986" s="124" t="s">
        <v>417</v>
      </c>
      <c r="B986" s="91" t="s">
        <v>288</v>
      </c>
      <c r="C986" s="91" t="s">
        <v>124</v>
      </c>
      <c r="D986" s="91" t="s">
        <v>118</v>
      </c>
      <c r="E986" s="91" t="s">
        <v>91</v>
      </c>
      <c r="F986" s="91" t="s">
        <v>51</v>
      </c>
      <c r="G986" s="74">
        <f>G987+G990</f>
        <v>0</v>
      </c>
      <c r="H986" s="74">
        <f>H987+H990</f>
        <v>0</v>
      </c>
      <c r="I986" s="102"/>
    </row>
    <row r="987" spans="1:54" ht="27" hidden="1" customHeight="1" x14ac:dyDescent="0.3">
      <c r="A987" s="188" t="s">
        <v>567</v>
      </c>
      <c r="B987" s="91" t="s">
        <v>288</v>
      </c>
      <c r="C987" s="91" t="s">
        <v>124</v>
      </c>
      <c r="D987" s="91" t="s">
        <v>118</v>
      </c>
      <c r="E987" s="91" t="s">
        <v>568</v>
      </c>
      <c r="F987" s="91" t="s">
        <v>51</v>
      </c>
      <c r="G987" s="74">
        <f>G988</f>
        <v>0</v>
      </c>
      <c r="H987" s="74">
        <f>H988</f>
        <v>0</v>
      </c>
      <c r="I987" s="102"/>
    </row>
    <row r="988" spans="1:54" ht="30.75" hidden="1" customHeight="1" x14ac:dyDescent="0.3">
      <c r="A988" s="189" t="s">
        <v>566</v>
      </c>
      <c r="B988" s="91" t="s">
        <v>288</v>
      </c>
      <c r="C988" s="91" t="s">
        <v>124</v>
      </c>
      <c r="D988" s="91" t="s">
        <v>118</v>
      </c>
      <c r="E988" s="91" t="s">
        <v>695</v>
      </c>
      <c r="F988" s="91" t="s">
        <v>51</v>
      </c>
      <c r="G988" s="74">
        <f>G989</f>
        <v>0</v>
      </c>
      <c r="H988" s="74">
        <f>H989</f>
        <v>0</v>
      </c>
      <c r="I988" s="102">
        <v>766</v>
      </c>
      <c r="K988" s="100">
        <v>7.74</v>
      </c>
    </row>
    <row r="989" spans="1:54" ht="46.5" hidden="1" customHeight="1" x14ac:dyDescent="0.3">
      <c r="A989" s="124" t="s">
        <v>267</v>
      </c>
      <c r="B989" s="91" t="s">
        <v>288</v>
      </c>
      <c r="C989" s="91" t="s">
        <v>124</v>
      </c>
      <c r="D989" s="91" t="s">
        <v>118</v>
      </c>
      <c r="E989" s="91" t="s">
        <v>695</v>
      </c>
      <c r="F989" s="91" t="s">
        <v>264</v>
      </c>
      <c r="G989" s="74">
        <v>0</v>
      </c>
      <c r="H989" s="74">
        <v>0</v>
      </c>
      <c r="I989" s="102"/>
      <c r="AA989" s="100">
        <v>7.3600000000000002E-3</v>
      </c>
      <c r="AI989" s="100">
        <v>0</v>
      </c>
    </row>
    <row r="990" spans="1:54" ht="30.75" hidden="1" customHeight="1" x14ac:dyDescent="0.3">
      <c r="A990" s="124" t="s">
        <v>63</v>
      </c>
      <c r="B990" s="91" t="s">
        <v>288</v>
      </c>
      <c r="C990" s="91" t="s">
        <v>124</v>
      </c>
      <c r="D990" s="91" t="s">
        <v>118</v>
      </c>
      <c r="E990" s="91" t="s">
        <v>313</v>
      </c>
      <c r="F990" s="91" t="s">
        <v>51</v>
      </c>
      <c r="G990" s="74">
        <f>G991</f>
        <v>0</v>
      </c>
      <c r="H990" s="74">
        <f>H991</f>
        <v>0</v>
      </c>
      <c r="I990" s="102"/>
      <c r="AL990" s="100"/>
      <c r="AM990" s="100"/>
    </row>
    <row r="991" spans="1:54" ht="24" hidden="1" customHeight="1" x14ac:dyDescent="0.3">
      <c r="A991" s="189" t="s">
        <v>566</v>
      </c>
      <c r="B991" s="91" t="s">
        <v>288</v>
      </c>
      <c r="C991" s="91" t="s">
        <v>124</v>
      </c>
      <c r="D991" s="91" t="s">
        <v>118</v>
      </c>
      <c r="E991" s="91" t="s">
        <v>565</v>
      </c>
      <c r="F991" s="91" t="s">
        <v>51</v>
      </c>
      <c r="G991" s="74">
        <f>G992</f>
        <v>0</v>
      </c>
      <c r="H991" s="74">
        <f>H992</f>
        <v>0</v>
      </c>
      <c r="I991" s="102"/>
      <c r="K991" s="100">
        <v>266.86</v>
      </c>
      <c r="AL991" s="100"/>
      <c r="AM991" s="100"/>
    </row>
    <row r="992" spans="1:54" ht="47.25" hidden="1" customHeight="1" x14ac:dyDescent="0.3">
      <c r="A992" s="124" t="s">
        <v>267</v>
      </c>
      <c r="B992" s="91" t="s">
        <v>288</v>
      </c>
      <c r="C992" s="91" t="s">
        <v>124</v>
      </c>
      <c r="D992" s="91" t="s">
        <v>118</v>
      </c>
      <c r="E992" s="91" t="s">
        <v>565</v>
      </c>
      <c r="F992" s="91" t="s">
        <v>264</v>
      </c>
      <c r="G992" s="74">
        <v>0</v>
      </c>
      <c r="H992" s="74">
        <v>0</v>
      </c>
      <c r="I992" s="102"/>
      <c r="L992" s="100">
        <v>100</v>
      </c>
      <c r="R992" s="100">
        <v>-41.667360000000002</v>
      </c>
      <c r="AI992" s="100">
        <v>0</v>
      </c>
      <c r="AL992" s="100"/>
      <c r="AM992" s="100"/>
    </row>
    <row r="993" spans="1:39" ht="47.25" customHeight="1" x14ac:dyDescent="0.3">
      <c r="A993" s="190" t="s">
        <v>346</v>
      </c>
      <c r="B993" s="149" t="s">
        <v>288</v>
      </c>
      <c r="C993" s="149" t="s">
        <v>124</v>
      </c>
      <c r="D993" s="154" t="s">
        <v>211</v>
      </c>
      <c r="E993" s="148" t="s">
        <v>50</v>
      </c>
      <c r="F993" s="149" t="s">
        <v>51</v>
      </c>
      <c r="G993" s="93">
        <f>G1004</f>
        <v>80.900000000000006</v>
      </c>
      <c r="H993" s="93">
        <f>H1004</f>
        <v>80.900000000000006</v>
      </c>
      <c r="I993" s="102"/>
      <c r="AL993" s="100"/>
      <c r="AM993" s="100"/>
    </row>
    <row r="994" spans="1:39" ht="47.25" hidden="1" customHeight="1" x14ac:dyDescent="0.3">
      <c r="A994" s="124" t="s">
        <v>38</v>
      </c>
      <c r="B994" s="128" t="s">
        <v>288</v>
      </c>
      <c r="C994" s="128" t="s">
        <v>124</v>
      </c>
      <c r="D994" s="155" t="s">
        <v>211</v>
      </c>
      <c r="E994" s="123" t="s">
        <v>25</v>
      </c>
      <c r="F994" s="91" t="s">
        <v>51</v>
      </c>
      <c r="G994" s="74">
        <f t="shared" ref="G994:H998" si="44">G995</f>
        <v>0</v>
      </c>
      <c r="H994" s="74">
        <f t="shared" si="44"/>
        <v>0</v>
      </c>
      <c r="I994" s="102"/>
      <c r="AL994" s="100"/>
      <c r="AM994" s="100"/>
    </row>
    <row r="995" spans="1:39" ht="47.25" hidden="1" customHeight="1" x14ac:dyDescent="0.3">
      <c r="A995" s="121" t="s">
        <v>162</v>
      </c>
      <c r="B995" s="91" t="s">
        <v>288</v>
      </c>
      <c r="C995" s="91" t="s">
        <v>124</v>
      </c>
      <c r="D995" s="91" t="s">
        <v>118</v>
      </c>
      <c r="E995" s="123" t="s">
        <v>100</v>
      </c>
      <c r="F995" s="91" t="s">
        <v>51</v>
      </c>
      <c r="G995" s="74">
        <f t="shared" si="44"/>
        <v>0</v>
      </c>
      <c r="H995" s="74">
        <f t="shared" si="44"/>
        <v>0</v>
      </c>
      <c r="I995" s="102"/>
      <c r="AL995" s="100"/>
      <c r="AM995" s="100"/>
    </row>
    <row r="996" spans="1:39" ht="43.5" hidden="1" customHeight="1" x14ac:dyDescent="0.3">
      <c r="A996" s="121" t="s">
        <v>11</v>
      </c>
      <c r="B996" s="91" t="s">
        <v>288</v>
      </c>
      <c r="C996" s="91" t="s">
        <v>124</v>
      </c>
      <c r="D996" s="91" t="s">
        <v>118</v>
      </c>
      <c r="E996" s="123" t="s">
        <v>29</v>
      </c>
      <c r="F996" s="91" t="s">
        <v>51</v>
      </c>
      <c r="G996" s="74">
        <f t="shared" si="44"/>
        <v>0</v>
      </c>
      <c r="H996" s="74">
        <f t="shared" si="44"/>
        <v>0</v>
      </c>
      <c r="I996" s="102"/>
      <c r="AL996" s="100"/>
      <c r="AM996" s="100"/>
    </row>
    <row r="997" spans="1:39" ht="75" hidden="1" x14ac:dyDescent="0.3">
      <c r="A997" s="121" t="s">
        <v>252</v>
      </c>
      <c r="B997" s="91" t="s">
        <v>288</v>
      </c>
      <c r="C997" s="91" t="s">
        <v>124</v>
      </c>
      <c r="D997" s="91" t="s">
        <v>118</v>
      </c>
      <c r="E997" s="123" t="s">
        <v>257</v>
      </c>
      <c r="F997" s="91" t="s">
        <v>51</v>
      </c>
      <c r="G997" s="74">
        <f t="shared" si="44"/>
        <v>0</v>
      </c>
      <c r="H997" s="74">
        <f t="shared" si="44"/>
        <v>0</v>
      </c>
      <c r="I997" s="102"/>
      <c r="AL997" s="100"/>
      <c r="AM997" s="100"/>
    </row>
    <row r="998" spans="1:39" ht="72.75" hidden="1" customHeight="1" x14ac:dyDescent="0.3">
      <c r="A998" s="124" t="s">
        <v>256</v>
      </c>
      <c r="B998" s="122">
        <v>936</v>
      </c>
      <c r="C998" s="91" t="s">
        <v>124</v>
      </c>
      <c r="D998" s="91" t="s">
        <v>118</v>
      </c>
      <c r="E998" s="91" t="s">
        <v>258</v>
      </c>
      <c r="F998" s="91" t="s">
        <v>51</v>
      </c>
      <c r="G998" s="74">
        <f t="shared" si="44"/>
        <v>0</v>
      </c>
      <c r="H998" s="74">
        <f t="shared" si="44"/>
        <v>0</v>
      </c>
      <c r="I998" s="102"/>
      <c r="AL998" s="100"/>
      <c r="AM998" s="100"/>
    </row>
    <row r="999" spans="1:39" ht="56.25" hidden="1" x14ac:dyDescent="0.3">
      <c r="A999" s="124" t="s">
        <v>267</v>
      </c>
      <c r="B999" s="122">
        <v>936</v>
      </c>
      <c r="C999" s="91" t="s">
        <v>124</v>
      </c>
      <c r="D999" s="91" t="s">
        <v>118</v>
      </c>
      <c r="E999" s="91" t="s">
        <v>258</v>
      </c>
      <c r="F999" s="91" t="s">
        <v>264</v>
      </c>
      <c r="G999" s="74">
        <v>0</v>
      </c>
      <c r="H999" s="74">
        <v>0</v>
      </c>
      <c r="I999" s="102"/>
      <c r="AL999" s="100"/>
      <c r="AM999" s="100"/>
    </row>
    <row r="1000" spans="1:39" ht="69" hidden="1" customHeight="1" x14ac:dyDescent="0.3">
      <c r="A1000" s="121" t="s">
        <v>139</v>
      </c>
      <c r="B1000" s="128" t="s">
        <v>288</v>
      </c>
      <c r="C1000" s="128" t="s">
        <v>124</v>
      </c>
      <c r="D1000" s="155" t="s">
        <v>211</v>
      </c>
      <c r="E1000" s="123" t="s">
        <v>52</v>
      </c>
      <c r="F1000" s="91" t="s">
        <v>51</v>
      </c>
      <c r="G1000" s="74">
        <f t="shared" ref="G1000:H1002" si="45">G1001</f>
        <v>0</v>
      </c>
      <c r="H1000" s="74">
        <f t="shared" si="45"/>
        <v>0</v>
      </c>
      <c r="I1000" s="102"/>
      <c r="AL1000" s="100"/>
      <c r="AM1000" s="100"/>
    </row>
    <row r="1001" spans="1:39" ht="45.75" hidden="1" customHeight="1" x14ac:dyDescent="0.3">
      <c r="A1001" s="124" t="s">
        <v>69</v>
      </c>
      <c r="B1001" s="122">
        <v>936</v>
      </c>
      <c r="C1001" s="128" t="s">
        <v>124</v>
      </c>
      <c r="D1001" s="155" t="s">
        <v>211</v>
      </c>
      <c r="E1001" s="91" t="s">
        <v>70</v>
      </c>
      <c r="F1001" s="91" t="s">
        <v>51</v>
      </c>
      <c r="G1001" s="74">
        <f t="shared" si="45"/>
        <v>0</v>
      </c>
      <c r="H1001" s="74">
        <f t="shared" si="45"/>
        <v>0</v>
      </c>
      <c r="I1001" s="102"/>
      <c r="AL1001" s="100"/>
      <c r="AM1001" s="100"/>
    </row>
    <row r="1002" spans="1:39" ht="92.25" hidden="1" customHeight="1" x14ac:dyDescent="0.3">
      <c r="A1002" s="124" t="s">
        <v>77</v>
      </c>
      <c r="B1002" s="122">
        <v>936</v>
      </c>
      <c r="C1002" s="128" t="s">
        <v>124</v>
      </c>
      <c r="D1002" s="155" t="s">
        <v>211</v>
      </c>
      <c r="E1002" s="91" t="s">
        <v>41</v>
      </c>
      <c r="F1002" s="91" t="s">
        <v>51</v>
      </c>
      <c r="G1002" s="74">
        <f t="shared" si="45"/>
        <v>0</v>
      </c>
      <c r="H1002" s="74">
        <f t="shared" si="45"/>
        <v>0</v>
      </c>
      <c r="I1002" s="102"/>
      <c r="AL1002" s="100"/>
      <c r="AM1002" s="100"/>
    </row>
    <row r="1003" spans="1:39" ht="68.25" hidden="1" customHeight="1" x14ac:dyDescent="0.3">
      <c r="A1003" s="124" t="s">
        <v>267</v>
      </c>
      <c r="B1003" s="122">
        <v>936</v>
      </c>
      <c r="C1003" s="128" t="s">
        <v>124</v>
      </c>
      <c r="D1003" s="155" t="s">
        <v>211</v>
      </c>
      <c r="E1003" s="91" t="s">
        <v>41</v>
      </c>
      <c r="F1003" s="91" t="s">
        <v>264</v>
      </c>
      <c r="G1003" s="74">
        <v>0</v>
      </c>
      <c r="H1003" s="74">
        <v>0</v>
      </c>
      <c r="I1003" s="102"/>
      <c r="AL1003" s="100"/>
      <c r="AM1003" s="100"/>
    </row>
    <row r="1004" spans="1:39" ht="69.75" customHeight="1" x14ac:dyDescent="0.3">
      <c r="A1004" s="131" t="s">
        <v>16</v>
      </c>
      <c r="B1004" s="122">
        <v>936</v>
      </c>
      <c r="C1004" s="128" t="s">
        <v>124</v>
      </c>
      <c r="D1004" s="155" t="s">
        <v>211</v>
      </c>
      <c r="E1004" s="123" t="s">
        <v>32</v>
      </c>
      <c r="F1004" s="123" t="s">
        <v>51</v>
      </c>
      <c r="G1004" s="74">
        <f>G1005+G1011</f>
        <v>80.900000000000006</v>
      </c>
      <c r="H1004" s="74">
        <f>H1005+H1011</f>
        <v>80.900000000000006</v>
      </c>
      <c r="I1004" s="102"/>
      <c r="AL1004" s="100"/>
      <c r="AM1004" s="100"/>
    </row>
    <row r="1005" spans="1:39" ht="51.75" hidden="1" customHeight="1" x14ac:dyDescent="0.3">
      <c r="A1005" s="125" t="s">
        <v>17</v>
      </c>
      <c r="B1005" s="122">
        <v>936</v>
      </c>
      <c r="C1005" s="128" t="s">
        <v>124</v>
      </c>
      <c r="D1005" s="155" t="s">
        <v>211</v>
      </c>
      <c r="E1005" s="123" t="s">
        <v>33</v>
      </c>
      <c r="F1005" s="138" t="s">
        <v>51</v>
      </c>
      <c r="G1005" s="74">
        <f>G1006+G1009</f>
        <v>0</v>
      </c>
      <c r="H1005" s="74">
        <f>H1006+H1009</f>
        <v>0</v>
      </c>
      <c r="I1005" s="102"/>
      <c r="AL1005" s="100"/>
      <c r="AM1005" s="100"/>
    </row>
    <row r="1006" spans="1:39" ht="86.25" hidden="1" customHeight="1" x14ac:dyDescent="0.3">
      <c r="A1006" s="124" t="s">
        <v>252</v>
      </c>
      <c r="B1006" s="122">
        <v>936</v>
      </c>
      <c r="C1006" s="128" t="s">
        <v>124</v>
      </c>
      <c r="D1006" s="155" t="s">
        <v>211</v>
      </c>
      <c r="E1006" s="123" t="s">
        <v>387</v>
      </c>
      <c r="F1006" s="138" t="s">
        <v>51</v>
      </c>
      <c r="G1006" s="74">
        <f>G1007</f>
        <v>0</v>
      </c>
      <c r="H1006" s="74">
        <f>H1007</f>
        <v>0</v>
      </c>
      <c r="I1006" s="102"/>
    </row>
    <row r="1007" spans="1:39" ht="72.75" hidden="1" customHeight="1" x14ac:dyDescent="0.3">
      <c r="A1007" s="124" t="s">
        <v>445</v>
      </c>
      <c r="B1007" s="122">
        <v>936</v>
      </c>
      <c r="C1007" s="128" t="s">
        <v>124</v>
      </c>
      <c r="D1007" s="155" t="s">
        <v>211</v>
      </c>
      <c r="E1007" s="123" t="s">
        <v>388</v>
      </c>
      <c r="F1007" s="138" t="s">
        <v>51</v>
      </c>
      <c r="G1007" s="74">
        <f>G1008</f>
        <v>0</v>
      </c>
      <c r="H1007" s="74">
        <f>H1008</f>
        <v>0</v>
      </c>
      <c r="I1007" s="102"/>
    </row>
    <row r="1008" spans="1:39" ht="45.75" hidden="1" customHeight="1" x14ac:dyDescent="0.3">
      <c r="A1008" s="124" t="s">
        <v>433</v>
      </c>
      <c r="B1008" s="122">
        <v>936</v>
      </c>
      <c r="C1008" s="128" t="s">
        <v>124</v>
      </c>
      <c r="D1008" s="155" t="s">
        <v>211</v>
      </c>
      <c r="E1008" s="123" t="s">
        <v>388</v>
      </c>
      <c r="F1008" s="138" t="s">
        <v>60</v>
      </c>
      <c r="G1008" s="74">
        <v>0</v>
      </c>
      <c r="H1008" s="74">
        <v>0</v>
      </c>
      <c r="I1008" s="102"/>
      <c r="R1008" s="100">
        <v>2.7719999999999998</v>
      </c>
      <c r="AI1008" s="100">
        <v>11</v>
      </c>
      <c r="AL1008" s="102">
        <v>0</v>
      </c>
      <c r="AM1008" s="102">
        <v>0</v>
      </c>
    </row>
    <row r="1009" spans="1:56" ht="108.75" hidden="1" customHeight="1" x14ac:dyDescent="0.3">
      <c r="A1009" s="124" t="s">
        <v>450</v>
      </c>
      <c r="B1009" s="122">
        <v>936</v>
      </c>
      <c r="C1009" s="128" t="s">
        <v>124</v>
      </c>
      <c r="D1009" s="155" t="s">
        <v>211</v>
      </c>
      <c r="E1009" s="123" t="s">
        <v>389</v>
      </c>
      <c r="F1009" s="138" t="s">
        <v>51</v>
      </c>
      <c r="G1009" s="74">
        <f>G1010</f>
        <v>0</v>
      </c>
      <c r="H1009" s="74">
        <f>H1010</f>
        <v>0</v>
      </c>
      <c r="I1009" s="102"/>
    </row>
    <row r="1010" spans="1:56" ht="58.5" hidden="1" customHeight="1" x14ac:dyDescent="0.3">
      <c r="A1010" s="124" t="s">
        <v>433</v>
      </c>
      <c r="B1010" s="122">
        <v>936</v>
      </c>
      <c r="C1010" s="128" t="s">
        <v>124</v>
      </c>
      <c r="D1010" s="155" t="s">
        <v>211</v>
      </c>
      <c r="E1010" s="123" t="s">
        <v>389</v>
      </c>
      <c r="F1010" s="138" t="s">
        <v>60</v>
      </c>
      <c r="G1010" s="74">
        <v>0</v>
      </c>
      <c r="H1010" s="74">
        <v>0</v>
      </c>
      <c r="I1010" s="102"/>
      <c r="R1010" s="100">
        <v>2.8000000000000001E-2</v>
      </c>
      <c r="AI1010" s="100">
        <v>0.2</v>
      </c>
      <c r="AL1010" s="102">
        <v>0</v>
      </c>
      <c r="AM1010" s="102">
        <v>0</v>
      </c>
    </row>
    <row r="1011" spans="1:56" ht="45.75" customHeight="1" x14ac:dyDescent="0.3">
      <c r="A1011" s="125" t="s">
        <v>18</v>
      </c>
      <c r="B1011" s="122">
        <v>936</v>
      </c>
      <c r="C1011" s="128" t="s">
        <v>124</v>
      </c>
      <c r="D1011" s="155" t="s">
        <v>211</v>
      </c>
      <c r="E1011" s="123" t="s">
        <v>34</v>
      </c>
      <c r="F1011" s="138" t="s">
        <v>51</v>
      </c>
      <c r="G1011" s="74">
        <f>G1015+G1018+G1012</f>
        <v>80.900000000000006</v>
      </c>
      <c r="H1011" s="74">
        <f>H1015+H1018+H1012</f>
        <v>80.900000000000006</v>
      </c>
      <c r="I1011" s="102"/>
    </row>
    <row r="1012" spans="1:56" ht="33.75" hidden="1" customHeight="1" x14ac:dyDescent="0.3">
      <c r="A1012" s="124" t="s">
        <v>63</v>
      </c>
      <c r="B1012" s="122">
        <v>936</v>
      </c>
      <c r="C1012" s="128" t="s">
        <v>124</v>
      </c>
      <c r="D1012" s="155" t="s">
        <v>211</v>
      </c>
      <c r="E1012" s="123" t="s">
        <v>352</v>
      </c>
      <c r="F1012" s="138" t="s">
        <v>51</v>
      </c>
      <c r="G1012" s="74">
        <f>G1013</f>
        <v>0</v>
      </c>
      <c r="H1012" s="74">
        <f>H1013</f>
        <v>0</v>
      </c>
      <c r="I1012" s="102"/>
    </row>
    <row r="1013" spans="1:56" ht="45.75" hidden="1" customHeight="1" x14ac:dyDescent="0.3">
      <c r="A1013" s="130" t="s">
        <v>441</v>
      </c>
      <c r="B1013" s="122">
        <v>936</v>
      </c>
      <c r="C1013" s="128" t="s">
        <v>124</v>
      </c>
      <c r="D1013" s="155" t="s">
        <v>211</v>
      </c>
      <c r="E1013" s="123" t="s">
        <v>442</v>
      </c>
      <c r="F1013" s="138" t="s">
        <v>51</v>
      </c>
      <c r="G1013" s="74">
        <f>G1014</f>
        <v>0</v>
      </c>
      <c r="H1013" s="74">
        <f>H1014</f>
        <v>0</v>
      </c>
      <c r="I1013" s="102"/>
    </row>
    <row r="1014" spans="1:56" ht="45.75" hidden="1" customHeight="1" x14ac:dyDescent="0.3">
      <c r="A1014" s="124" t="s">
        <v>433</v>
      </c>
      <c r="B1014" s="122">
        <v>936</v>
      </c>
      <c r="C1014" s="128" t="s">
        <v>124</v>
      </c>
      <c r="D1014" s="155" t="s">
        <v>211</v>
      </c>
      <c r="E1014" s="123" t="s">
        <v>442</v>
      </c>
      <c r="F1014" s="138" t="s">
        <v>60</v>
      </c>
      <c r="G1014" s="74">
        <v>0</v>
      </c>
      <c r="H1014" s="74">
        <v>0</v>
      </c>
      <c r="I1014" s="102"/>
    </row>
    <row r="1015" spans="1:56" ht="75" customHeight="1" x14ac:dyDescent="0.3">
      <c r="A1015" s="124" t="s">
        <v>252</v>
      </c>
      <c r="B1015" s="122">
        <v>936</v>
      </c>
      <c r="C1015" s="128" t="s">
        <v>124</v>
      </c>
      <c r="D1015" s="155" t="s">
        <v>211</v>
      </c>
      <c r="E1015" s="11" t="s">
        <v>832</v>
      </c>
      <c r="F1015" s="138" t="s">
        <v>51</v>
      </c>
      <c r="G1015" s="74">
        <f>G1016</f>
        <v>79.900000000000006</v>
      </c>
      <c r="H1015" s="74">
        <f>H1016</f>
        <v>79.900000000000006</v>
      </c>
      <c r="I1015" s="102"/>
    </row>
    <row r="1016" spans="1:56" ht="74.25" customHeight="1" x14ac:dyDescent="0.3">
      <c r="A1016" s="124" t="s">
        <v>445</v>
      </c>
      <c r="B1016" s="122">
        <v>936</v>
      </c>
      <c r="C1016" s="128" t="s">
        <v>124</v>
      </c>
      <c r="D1016" s="155" t="s">
        <v>211</v>
      </c>
      <c r="E1016" s="11" t="s">
        <v>833</v>
      </c>
      <c r="F1016" s="138" t="s">
        <v>51</v>
      </c>
      <c r="G1016" s="74">
        <f>G1017</f>
        <v>79.900000000000006</v>
      </c>
      <c r="H1016" s="74">
        <f>H1017</f>
        <v>79.900000000000006</v>
      </c>
      <c r="I1016" s="102"/>
    </row>
    <row r="1017" spans="1:56" ht="45.75" customHeight="1" x14ac:dyDescent="0.3">
      <c r="A1017" s="124" t="s">
        <v>433</v>
      </c>
      <c r="B1017" s="122">
        <v>936</v>
      </c>
      <c r="C1017" s="128" t="s">
        <v>124</v>
      </c>
      <c r="D1017" s="155" t="s">
        <v>211</v>
      </c>
      <c r="E1017" s="11" t="s">
        <v>833</v>
      </c>
      <c r="F1017" s="138" t="s">
        <v>60</v>
      </c>
      <c r="G1017" s="74">
        <v>79.900000000000006</v>
      </c>
      <c r="H1017" s="74">
        <v>79.900000000000006</v>
      </c>
      <c r="I1017" s="102"/>
      <c r="R1017" s="100">
        <f>-0.03-2.772</f>
        <v>-2.8019999999999996</v>
      </c>
      <c r="AI1017" s="100">
        <v>43.95</v>
      </c>
      <c r="AL1017" s="102">
        <v>0</v>
      </c>
      <c r="AM1017" s="102">
        <v>0</v>
      </c>
      <c r="AS1017" s="101">
        <v>52.38</v>
      </c>
      <c r="AU1017" s="101">
        <v>52.38</v>
      </c>
      <c r="BC1017" s="236">
        <v>79.900000000000006</v>
      </c>
      <c r="BD1017" s="237">
        <v>79.900000000000006</v>
      </c>
    </row>
    <row r="1018" spans="1:56" ht="111" customHeight="1" x14ac:dyDescent="0.3">
      <c r="A1018" s="124" t="s">
        <v>450</v>
      </c>
      <c r="B1018" s="122">
        <v>936</v>
      </c>
      <c r="C1018" s="128" t="s">
        <v>124</v>
      </c>
      <c r="D1018" s="155" t="s">
        <v>211</v>
      </c>
      <c r="E1018" s="11" t="s">
        <v>834</v>
      </c>
      <c r="F1018" s="138" t="s">
        <v>51</v>
      </c>
      <c r="G1018" s="74">
        <f>G1019</f>
        <v>1</v>
      </c>
      <c r="H1018" s="74">
        <f>H1019</f>
        <v>1</v>
      </c>
      <c r="I1018" s="102"/>
    </row>
    <row r="1019" spans="1:56" ht="41.25" customHeight="1" x14ac:dyDescent="0.3">
      <c r="A1019" s="124" t="s">
        <v>433</v>
      </c>
      <c r="B1019" s="122">
        <v>936</v>
      </c>
      <c r="C1019" s="128" t="s">
        <v>124</v>
      </c>
      <c r="D1019" s="155" t="s">
        <v>211</v>
      </c>
      <c r="E1019" s="11" t="s">
        <v>834</v>
      </c>
      <c r="F1019" s="138" t="s">
        <v>60</v>
      </c>
      <c r="G1019" s="74">
        <v>1</v>
      </c>
      <c r="H1019" s="74">
        <v>1</v>
      </c>
      <c r="I1019" s="102"/>
      <c r="R1019" s="100">
        <f>0.02-0.028</f>
        <v>-8.0000000000000002E-3</v>
      </c>
      <c r="AI1019" s="100">
        <v>0.5</v>
      </c>
      <c r="AL1019" s="102">
        <v>0</v>
      </c>
      <c r="AM1019" s="102">
        <v>0</v>
      </c>
      <c r="AR1019" s="101">
        <v>0.6</v>
      </c>
      <c r="AT1019" s="101">
        <v>0.6</v>
      </c>
      <c r="BC1019" s="236">
        <v>0.8</v>
      </c>
      <c r="BD1019" s="237">
        <v>0.8</v>
      </c>
    </row>
    <row r="1020" spans="1:56" ht="28.5" hidden="1" customHeight="1" x14ac:dyDescent="0.3">
      <c r="A1020" s="119" t="s">
        <v>148</v>
      </c>
      <c r="B1020" s="114" t="s">
        <v>288</v>
      </c>
      <c r="C1020" s="114" t="s">
        <v>124</v>
      </c>
      <c r="D1020" s="120" t="s">
        <v>124</v>
      </c>
      <c r="E1020" s="118" t="s">
        <v>50</v>
      </c>
      <c r="F1020" s="114" t="s">
        <v>51</v>
      </c>
      <c r="G1020" s="93">
        <f>G1021+G1044</f>
        <v>0</v>
      </c>
      <c r="H1020" s="93">
        <f>H1021+H1044</f>
        <v>0</v>
      </c>
      <c r="I1020" s="102"/>
    </row>
    <row r="1021" spans="1:56" ht="62.25" hidden="1" customHeight="1" x14ac:dyDescent="0.3">
      <c r="A1021" s="124" t="s">
        <v>38</v>
      </c>
      <c r="B1021" s="91" t="s">
        <v>288</v>
      </c>
      <c r="C1021" s="91" t="s">
        <v>124</v>
      </c>
      <c r="D1021" s="105" t="s">
        <v>124</v>
      </c>
      <c r="E1021" s="123" t="s">
        <v>406</v>
      </c>
      <c r="F1021" s="91" t="s">
        <v>51</v>
      </c>
      <c r="G1021" s="74">
        <f>G1022+G1041</f>
        <v>0</v>
      </c>
      <c r="H1021" s="74">
        <f>H1022</f>
        <v>0</v>
      </c>
      <c r="I1021" s="102"/>
    </row>
    <row r="1022" spans="1:56" ht="70.5" hidden="1" customHeight="1" outlineLevel="1" x14ac:dyDescent="0.3">
      <c r="A1022" s="121" t="s">
        <v>141</v>
      </c>
      <c r="B1022" s="91">
        <v>936</v>
      </c>
      <c r="C1022" s="91" t="s">
        <v>124</v>
      </c>
      <c r="D1022" s="105" t="s">
        <v>124</v>
      </c>
      <c r="E1022" s="123" t="s">
        <v>78</v>
      </c>
      <c r="F1022" s="91" t="s">
        <v>51</v>
      </c>
      <c r="G1022" s="74">
        <f>G1033+G1035+G1030</f>
        <v>0</v>
      </c>
      <c r="H1022" s="74">
        <f>H1033+H1035+H1030</f>
        <v>0</v>
      </c>
      <c r="I1022" s="102"/>
    </row>
    <row r="1023" spans="1:56" hidden="1" outlineLevel="1" x14ac:dyDescent="0.3">
      <c r="A1023" s="124" t="s">
        <v>63</v>
      </c>
      <c r="B1023" s="91">
        <v>936</v>
      </c>
      <c r="C1023" s="91" t="s">
        <v>124</v>
      </c>
      <c r="D1023" s="105" t="s">
        <v>124</v>
      </c>
      <c r="E1023" s="123" t="s">
        <v>153</v>
      </c>
      <c r="F1023" s="91" t="s">
        <v>51</v>
      </c>
      <c r="G1023" s="74">
        <v>0</v>
      </c>
      <c r="H1023" s="74">
        <v>0</v>
      </c>
      <c r="I1023" s="102"/>
    </row>
    <row r="1024" spans="1:56" ht="41.25" hidden="1" customHeight="1" x14ac:dyDescent="0.3">
      <c r="A1024" s="124" t="s">
        <v>417</v>
      </c>
      <c r="B1024" s="122">
        <v>936</v>
      </c>
      <c r="C1024" s="91" t="s">
        <v>122</v>
      </c>
      <c r="D1024" s="105" t="s">
        <v>262</v>
      </c>
      <c r="E1024" s="91" t="s">
        <v>35</v>
      </c>
      <c r="F1024" s="91" t="s">
        <v>51</v>
      </c>
      <c r="G1024" s="74" t="e">
        <f>G1025+G1028+#REF!+G1038</f>
        <v>#REF!</v>
      </c>
      <c r="H1024" s="74" t="e">
        <f>H1025+H1028+#REF!+H1038</f>
        <v>#REF!</v>
      </c>
      <c r="I1024" s="102"/>
    </row>
    <row r="1025" spans="1:43" hidden="1" outlineLevel="1" x14ac:dyDescent="0.3">
      <c r="A1025" s="124" t="s">
        <v>61</v>
      </c>
      <c r="B1025" s="122">
        <v>936</v>
      </c>
      <c r="C1025" s="91" t="s">
        <v>211</v>
      </c>
      <c r="D1025" s="91" t="s">
        <v>118</v>
      </c>
      <c r="E1025" s="91" t="s">
        <v>295</v>
      </c>
      <c r="F1025" s="91" t="s">
        <v>62</v>
      </c>
      <c r="G1025" s="74"/>
      <c r="H1025" s="74"/>
      <c r="I1025" s="102"/>
    </row>
    <row r="1026" spans="1:43" ht="56.25" hidden="1" outlineLevel="1" x14ac:dyDescent="0.3">
      <c r="A1026" s="124" t="s">
        <v>293</v>
      </c>
      <c r="B1026" s="122">
        <v>936</v>
      </c>
      <c r="C1026" s="91" t="s">
        <v>211</v>
      </c>
      <c r="D1026" s="91" t="s">
        <v>118</v>
      </c>
      <c r="E1026" s="91" t="s">
        <v>295</v>
      </c>
      <c r="F1026" s="91" t="s">
        <v>294</v>
      </c>
      <c r="G1026" s="74"/>
      <c r="H1026" s="74"/>
      <c r="I1026" s="102"/>
    </row>
    <row r="1027" spans="1:43" hidden="1" outlineLevel="1" x14ac:dyDescent="0.3">
      <c r="A1027" s="124" t="s">
        <v>536</v>
      </c>
      <c r="B1027" s="122">
        <v>936</v>
      </c>
      <c r="C1027" s="91" t="s">
        <v>122</v>
      </c>
      <c r="D1027" s="105" t="s">
        <v>262</v>
      </c>
      <c r="E1027" s="91" t="s">
        <v>535</v>
      </c>
      <c r="F1027" s="91" t="s">
        <v>51</v>
      </c>
      <c r="G1027" s="74"/>
      <c r="H1027" s="74"/>
      <c r="I1027" s="102"/>
    </row>
    <row r="1028" spans="1:43" ht="41.25" hidden="1" customHeight="1" outlineLevel="1" x14ac:dyDescent="0.3">
      <c r="A1028" s="124" t="s">
        <v>61</v>
      </c>
      <c r="B1028" s="122">
        <v>936</v>
      </c>
      <c r="C1028" s="91" t="s">
        <v>122</v>
      </c>
      <c r="D1028" s="105" t="s">
        <v>262</v>
      </c>
      <c r="E1028" s="91" t="s">
        <v>273</v>
      </c>
      <c r="F1028" s="91" t="s">
        <v>62</v>
      </c>
      <c r="G1028" s="74"/>
      <c r="H1028" s="74"/>
      <c r="I1028" s="102"/>
    </row>
    <row r="1029" spans="1:43" ht="56.25" hidden="1" collapsed="1" x14ac:dyDescent="0.3">
      <c r="A1029" s="124" t="s">
        <v>267</v>
      </c>
      <c r="B1029" s="122">
        <v>936</v>
      </c>
      <c r="C1029" s="91" t="s">
        <v>124</v>
      </c>
      <c r="D1029" s="105" t="s">
        <v>124</v>
      </c>
      <c r="E1029" s="91" t="s">
        <v>463</v>
      </c>
      <c r="F1029" s="91" t="s">
        <v>264</v>
      </c>
      <c r="G1029" s="74">
        <v>0</v>
      </c>
      <c r="H1029" s="74">
        <v>0</v>
      </c>
      <c r="I1029" s="102"/>
    </row>
    <row r="1030" spans="1:43" hidden="1" x14ac:dyDescent="0.3">
      <c r="A1030" s="124" t="s">
        <v>63</v>
      </c>
      <c r="B1030" s="122">
        <v>905</v>
      </c>
      <c r="C1030" s="91" t="s">
        <v>124</v>
      </c>
      <c r="D1030" s="105" t="s">
        <v>124</v>
      </c>
      <c r="E1030" s="91" t="s">
        <v>153</v>
      </c>
      <c r="F1030" s="91" t="s">
        <v>51</v>
      </c>
      <c r="G1030" s="74">
        <f>G1031</f>
        <v>0</v>
      </c>
      <c r="H1030" s="74">
        <f>H1031</f>
        <v>0</v>
      </c>
      <c r="I1030" s="102"/>
    </row>
    <row r="1031" spans="1:43" hidden="1" x14ac:dyDescent="0.3">
      <c r="A1031" s="124" t="s">
        <v>165</v>
      </c>
      <c r="B1031" s="122">
        <v>905</v>
      </c>
      <c r="C1031" s="91" t="s">
        <v>124</v>
      </c>
      <c r="D1031" s="105" t="s">
        <v>124</v>
      </c>
      <c r="E1031" s="91" t="s">
        <v>463</v>
      </c>
      <c r="F1031" s="91" t="s">
        <v>51</v>
      </c>
      <c r="G1031" s="74">
        <f>G1032</f>
        <v>0</v>
      </c>
      <c r="H1031" s="74">
        <f>H1032</f>
        <v>0</v>
      </c>
      <c r="I1031" s="102"/>
    </row>
    <row r="1032" spans="1:43" ht="56.25" hidden="1" x14ac:dyDescent="0.3">
      <c r="A1032" s="124" t="s">
        <v>267</v>
      </c>
      <c r="B1032" s="122">
        <v>936</v>
      </c>
      <c r="C1032" s="91" t="s">
        <v>124</v>
      </c>
      <c r="D1032" s="105" t="s">
        <v>124</v>
      </c>
      <c r="E1032" s="91" t="s">
        <v>463</v>
      </c>
      <c r="F1032" s="91" t="s">
        <v>264</v>
      </c>
      <c r="G1032" s="74">
        <v>0</v>
      </c>
      <c r="H1032" s="74">
        <v>0</v>
      </c>
      <c r="I1032" s="102"/>
      <c r="S1032" s="100">
        <v>0.64</v>
      </c>
      <c r="AI1032" s="100">
        <v>0</v>
      </c>
    </row>
    <row r="1033" spans="1:43" ht="75" hidden="1" x14ac:dyDescent="0.3">
      <c r="A1033" s="124" t="s">
        <v>252</v>
      </c>
      <c r="B1033" s="122">
        <v>936</v>
      </c>
      <c r="C1033" s="91" t="s">
        <v>124</v>
      </c>
      <c r="D1033" s="105" t="s">
        <v>124</v>
      </c>
      <c r="E1033" s="91" t="s">
        <v>413</v>
      </c>
      <c r="F1033" s="91" t="s">
        <v>51</v>
      </c>
      <c r="G1033" s="74">
        <f>G1034</f>
        <v>0</v>
      </c>
      <c r="H1033" s="74">
        <f>H1034</f>
        <v>0</v>
      </c>
      <c r="I1033" s="102"/>
    </row>
    <row r="1034" spans="1:43" ht="56.25" hidden="1" x14ac:dyDescent="0.3">
      <c r="A1034" s="124" t="s">
        <v>267</v>
      </c>
      <c r="B1034" s="122">
        <v>936</v>
      </c>
      <c r="C1034" s="91" t="s">
        <v>124</v>
      </c>
      <c r="D1034" s="105" t="s">
        <v>124</v>
      </c>
      <c r="E1034" s="91" t="s">
        <v>414</v>
      </c>
      <c r="F1034" s="91" t="s">
        <v>264</v>
      </c>
      <c r="G1034" s="74">
        <v>0</v>
      </c>
      <c r="H1034" s="74">
        <v>0</v>
      </c>
      <c r="I1034" s="102"/>
      <c r="J1034" s="100">
        <v>-162</v>
      </c>
      <c r="AI1034" s="100">
        <v>509.12</v>
      </c>
      <c r="AL1034" s="102">
        <v>509.12</v>
      </c>
      <c r="AM1034" s="102">
        <v>509.12</v>
      </c>
      <c r="AN1034" s="100">
        <v>-9</v>
      </c>
      <c r="AO1034" s="103">
        <v>-5.12</v>
      </c>
      <c r="AP1034" s="100">
        <v>-9</v>
      </c>
      <c r="AQ1034" s="100">
        <v>-5.12</v>
      </c>
    </row>
    <row r="1035" spans="1:43" ht="56.25" hidden="1" x14ac:dyDescent="0.3">
      <c r="A1035" s="124" t="s">
        <v>304</v>
      </c>
      <c r="B1035" s="122">
        <v>936</v>
      </c>
      <c r="C1035" s="91" t="s">
        <v>124</v>
      </c>
      <c r="D1035" s="105" t="s">
        <v>124</v>
      </c>
      <c r="E1035" s="91" t="s">
        <v>415</v>
      </c>
      <c r="F1035" s="91" t="s">
        <v>51</v>
      </c>
      <c r="G1035" s="74">
        <f>G1036</f>
        <v>0</v>
      </c>
      <c r="H1035" s="74">
        <f>H1036</f>
        <v>0</v>
      </c>
      <c r="I1035" s="102"/>
    </row>
    <row r="1036" spans="1:43" ht="57.75" hidden="1" customHeight="1" x14ac:dyDescent="0.3">
      <c r="A1036" s="124" t="s">
        <v>267</v>
      </c>
      <c r="B1036" s="122">
        <v>936</v>
      </c>
      <c r="C1036" s="91" t="s">
        <v>124</v>
      </c>
      <c r="D1036" s="105" t="s">
        <v>124</v>
      </c>
      <c r="E1036" s="91" t="s">
        <v>415</v>
      </c>
      <c r="F1036" s="91" t="s">
        <v>264</v>
      </c>
      <c r="G1036" s="144">
        <v>0</v>
      </c>
      <c r="H1036" s="144">
        <v>0</v>
      </c>
      <c r="I1036" s="102"/>
      <c r="J1036" s="100">
        <v>-1.6364000000000001</v>
      </c>
      <c r="AI1036" s="100">
        <v>5.12</v>
      </c>
      <c r="AL1036" s="102">
        <v>5.12</v>
      </c>
      <c r="AM1036" s="102">
        <v>5.12</v>
      </c>
      <c r="AO1036" s="103">
        <v>-0.1201</v>
      </c>
      <c r="AQ1036" s="100">
        <v>-0.1201</v>
      </c>
    </row>
    <row r="1037" spans="1:43" ht="81" hidden="1" customHeight="1" x14ac:dyDescent="0.3">
      <c r="A1037" s="121" t="s">
        <v>141</v>
      </c>
      <c r="B1037" s="122">
        <v>936</v>
      </c>
      <c r="C1037" s="91" t="s">
        <v>124</v>
      </c>
      <c r="D1037" s="105" t="s">
        <v>124</v>
      </c>
      <c r="E1037" s="91" t="s">
        <v>78</v>
      </c>
      <c r="F1037" s="91" t="s">
        <v>51</v>
      </c>
      <c r="G1037" s="74">
        <v>0</v>
      </c>
      <c r="H1037" s="74">
        <v>0</v>
      </c>
      <c r="I1037" s="102"/>
    </row>
    <row r="1038" spans="1:43" ht="56.25" hidden="1" outlineLevel="1" x14ac:dyDescent="0.3">
      <c r="A1038" s="124" t="s">
        <v>267</v>
      </c>
      <c r="B1038" s="122">
        <v>936</v>
      </c>
      <c r="C1038" s="91" t="s">
        <v>124</v>
      </c>
      <c r="D1038" s="105" t="s">
        <v>124</v>
      </c>
      <c r="E1038" s="91" t="s">
        <v>149</v>
      </c>
      <c r="F1038" s="91" t="s">
        <v>264</v>
      </c>
      <c r="G1038" s="74"/>
      <c r="H1038" s="74"/>
      <c r="I1038" s="102"/>
    </row>
    <row r="1039" spans="1:43" ht="41.25" hidden="1" customHeight="1" collapsed="1" x14ac:dyDescent="0.3">
      <c r="A1039" s="124" t="s">
        <v>165</v>
      </c>
      <c r="B1039" s="122">
        <v>936</v>
      </c>
      <c r="C1039" s="91" t="s">
        <v>124</v>
      </c>
      <c r="D1039" s="105" t="s">
        <v>124</v>
      </c>
      <c r="E1039" s="91" t="s">
        <v>463</v>
      </c>
      <c r="F1039" s="91" t="s">
        <v>51</v>
      </c>
      <c r="G1039" s="74">
        <f>G1040</f>
        <v>0</v>
      </c>
      <c r="H1039" s="74">
        <f>H1040</f>
        <v>0</v>
      </c>
      <c r="I1039" s="102"/>
    </row>
    <row r="1040" spans="1:43" ht="41.25" hidden="1" customHeight="1" x14ac:dyDescent="0.3">
      <c r="A1040" s="124" t="s">
        <v>63</v>
      </c>
      <c r="B1040" s="122">
        <v>936</v>
      </c>
      <c r="C1040" s="91" t="s">
        <v>124</v>
      </c>
      <c r="D1040" s="105" t="s">
        <v>124</v>
      </c>
      <c r="E1040" s="91" t="s">
        <v>153</v>
      </c>
      <c r="F1040" s="91" t="s">
        <v>51</v>
      </c>
      <c r="G1040" s="74">
        <v>0</v>
      </c>
      <c r="H1040" s="74">
        <v>0</v>
      </c>
      <c r="I1040" s="102"/>
    </row>
    <row r="1041" spans="1:54" ht="41.25" hidden="1" customHeight="1" x14ac:dyDescent="0.3">
      <c r="A1041" s="124" t="s">
        <v>142</v>
      </c>
      <c r="B1041" s="122">
        <v>936</v>
      </c>
      <c r="C1041" s="91" t="s">
        <v>537</v>
      </c>
      <c r="D1041" s="105" t="s">
        <v>124</v>
      </c>
      <c r="E1041" s="91" t="s">
        <v>80</v>
      </c>
      <c r="F1041" s="91" t="s">
        <v>51</v>
      </c>
      <c r="G1041" s="74">
        <f>G1043</f>
        <v>0</v>
      </c>
      <c r="H1041" s="74">
        <f>H1043</f>
        <v>1.5</v>
      </c>
      <c r="I1041" s="102"/>
    </row>
    <row r="1042" spans="1:54" ht="30.75" hidden="1" customHeight="1" x14ac:dyDescent="0.3">
      <c r="A1042" s="124" t="s">
        <v>314</v>
      </c>
      <c r="B1042" s="122">
        <v>936</v>
      </c>
      <c r="C1042" s="91" t="s">
        <v>537</v>
      </c>
      <c r="D1042" s="105" t="s">
        <v>124</v>
      </c>
      <c r="E1042" s="91" t="s">
        <v>538</v>
      </c>
      <c r="F1042" s="91" t="s">
        <v>51</v>
      </c>
      <c r="G1042" s="74">
        <f>G1043</f>
        <v>0</v>
      </c>
      <c r="H1042" s="74">
        <f>H1043</f>
        <v>1.5</v>
      </c>
      <c r="I1042" s="102"/>
    </row>
    <row r="1043" spans="1:54" ht="41.25" hidden="1" customHeight="1" x14ac:dyDescent="0.3">
      <c r="A1043" s="124" t="s">
        <v>433</v>
      </c>
      <c r="B1043" s="122">
        <v>936</v>
      </c>
      <c r="C1043" s="91" t="s">
        <v>537</v>
      </c>
      <c r="D1043" s="105" t="s">
        <v>124</v>
      </c>
      <c r="E1043" s="91" t="s">
        <v>538</v>
      </c>
      <c r="F1043" s="91" t="s">
        <v>60</v>
      </c>
      <c r="G1043" s="74">
        <f>1.5+AC1043</f>
        <v>0</v>
      </c>
      <c r="H1043" s="74">
        <f>1.5+AD1043</f>
        <v>1.5</v>
      </c>
      <c r="I1043" s="102"/>
      <c r="AC1043" s="100">
        <v>-1.5</v>
      </c>
      <c r="AI1043" s="100">
        <v>0</v>
      </c>
    </row>
    <row r="1044" spans="1:54" ht="63.75" hidden="1" customHeight="1" x14ac:dyDescent="0.3">
      <c r="A1044" s="124" t="s">
        <v>0</v>
      </c>
      <c r="B1044" s="122">
        <v>936</v>
      </c>
      <c r="C1044" s="91" t="s">
        <v>537</v>
      </c>
      <c r="D1044" s="105" t="s">
        <v>124</v>
      </c>
      <c r="E1044" s="91" t="s">
        <v>93</v>
      </c>
      <c r="F1044" s="91" t="s">
        <v>51</v>
      </c>
      <c r="G1044" s="74">
        <f>G1046</f>
        <v>0</v>
      </c>
      <c r="H1044" s="74">
        <f>H1046</f>
        <v>0</v>
      </c>
      <c r="I1044" s="102"/>
    </row>
    <row r="1045" spans="1:54" ht="69.75" hidden="1" customHeight="1" x14ac:dyDescent="0.3">
      <c r="A1045" s="124" t="s">
        <v>512</v>
      </c>
      <c r="B1045" s="122">
        <v>936</v>
      </c>
      <c r="C1045" s="91" t="s">
        <v>537</v>
      </c>
      <c r="D1045" s="105" t="s">
        <v>124</v>
      </c>
      <c r="E1045" s="91" t="s">
        <v>528</v>
      </c>
      <c r="F1045" s="91" t="s">
        <v>51</v>
      </c>
      <c r="G1045" s="74">
        <f t="shared" ref="G1045:H1047" si="46">G1046</f>
        <v>0</v>
      </c>
      <c r="H1045" s="74">
        <f t="shared" si="46"/>
        <v>0</v>
      </c>
      <c r="I1045" s="102"/>
    </row>
    <row r="1046" spans="1:54" ht="34.5" hidden="1" customHeight="1" x14ac:dyDescent="0.3">
      <c r="A1046" s="124" t="s">
        <v>63</v>
      </c>
      <c r="B1046" s="122">
        <v>936</v>
      </c>
      <c r="C1046" s="91" t="s">
        <v>537</v>
      </c>
      <c r="D1046" s="105" t="s">
        <v>124</v>
      </c>
      <c r="E1046" s="91" t="s">
        <v>530</v>
      </c>
      <c r="F1046" s="91" t="s">
        <v>51</v>
      </c>
      <c r="G1046" s="74">
        <f t="shared" si="46"/>
        <v>0</v>
      </c>
      <c r="H1046" s="74">
        <f t="shared" si="46"/>
        <v>0</v>
      </c>
      <c r="I1046" s="102"/>
    </row>
    <row r="1047" spans="1:54" ht="30.75" hidden="1" customHeight="1" x14ac:dyDescent="0.3">
      <c r="A1047" s="124" t="s">
        <v>157</v>
      </c>
      <c r="B1047" s="122">
        <v>936</v>
      </c>
      <c r="C1047" s="91" t="s">
        <v>537</v>
      </c>
      <c r="D1047" s="105" t="s">
        <v>124</v>
      </c>
      <c r="E1047" s="91" t="s">
        <v>543</v>
      </c>
      <c r="F1047" s="91" t="s">
        <v>51</v>
      </c>
      <c r="G1047" s="74">
        <f t="shared" si="46"/>
        <v>0</v>
      </c>
      <c r="H1047" s="74">
        <f t="shared" si="46"/>
        <v>0</v>
      </c>
      <c r="I1047" s="102"/>
    </row>
    <row r="1048" spans="1:54" ht="41.25" hidden="1" customHeight="1" x14ac:dyDescent="0.3">
      <c r="A1048" s="124" t="s">
        <v>433</v>
      </c>
      <c r="B1048" s="122">
        <v>936</v>
      </c>
      <c r="C1048" s="91" t="s">
        <v>537</v>
      </c>
      <c r="D1048" s="105" t="s">
        <v>124</v>
      </c>
      <c r="E1048" s="91" t="s">
        <v>543</v>
      </c>
      <c r="F1048" s="91" t="s">
        <v>60</v>
      </c>
      <c r="G1048" s="74">
        <v>0</v>
      </c>
      <c r="H1048" s="74">
        <v>0</v>
      </c>
      <c r="I1048" s="102"/>
      <c r="R1048" s="100">
        <v>4</v>
      </c>
      <c r="AI1048" s="100">
        <v>5</v>
      </c>
      <c r="AL1048" s="102">
        <v>0</v>
      </c>
      <c r="AM1048" s="102">
        <v>0</v>
      </c>
    </row>
    <row r="1049" spans="1:54" ht="31.5" customHeight="1" x14ac:dyDescent="0.3">
      <c r="A1049" s="119" t="s">
        <v>130</v>
      </c>
      <c r="B1049" s="118">
        <v>936</v>
      </c>
      <c r="C1049" s="120" t="s">
        <v>131</v>
      </c>
      <c r="D1049" s="120" t="s">
        <v>113</v>
      </c>
      <c r="E1049" s="118" t="s">
        <v>50</v>
      </c>
      <c r="F1049" s="114" t="s">
        <v>51</v>
      </c>
      <c r="G1049" s="93">
        <f>G1050+G1074</f>
        <v>49543.099999999991</v>
      </c>
      <c r="H1049" s="93">
        <f>H1050+H1074</f>
        <v>49543.1</v>
      </c>
      <c r="I1049" s="102"/>
    </row>
    <row r="1050" spans="1:54" ht="32.25" customHeight="1" x14ac:dyDescent="0.3">
      <c r="A1050" s="119" t="s">
        <v>196</v>
      </c>
      <c r="B1050" s="118">
        <v>936</v>
      </c>
      <c r="C1050" s="120" t="s">
        <v>131</v>
      </c>
      <c r="D1050" s="120" t="s">
        <v>116</v>
      </c>
      <c r="E1050" s="118" t="s">
        <v>50</v>
      </c>
      <c r="F1050" s="114" t="s">
        <v>51</v>
      </c>
      <c r="G1050" s="93">
        <f>G1051+G1096</f>
        <v>49543.099999999991</v>
      </c>
      <c r="H1050" s="93">
        <f>H1051</f>
        <v>49543.1</v>
      </c>
      <c r="I1050" s="102"/>
    </row>
    <row r="1051" spans="1:54" ht="37.5" customHeight="1" x14ac:dyDescent="0.3">
      <c r="A1051" s="121" t="s">
        <v>159</v>
      </c>
      <c r="B1051" s="122">
        <v>936</v>
      </c>
      <c r="C1051" s="105" t="s">
        <v>131</v>
      </c>
      <c r="D1051" s="105" t="s">
        <v>116</v>
      </c>
      <c r="E1051" s="123" t="s">
        <v>86</v>
      </c>
      <c r="F1051" s="91" t="s">
        <v>51</v>
      </c>
      <c r="G1051" s="74">
        <f>G1052+G1058+G1065</f>
        <v>49543.099999999991</v>
      </c>
      <c r="H1051" s="74">
        <f>H1052+H1058+H1065</f>
        <v>49543.1</v>
      </c>
      <c r="I1051" s="102"/>
    </row>
    <row r="1052" spans="1:54" ht="62.25" customHeight="1" x14ac:dyDescent="0.3">
      <c r="A1052" s="121" t="s">
        <v>143</v>
      </c>
      <c r="B1052" s="122">
        <v>936</v>
      </c>
      <c r="C1052" s="105" t="s">
        <v>131</v>
      </c>
      <c r="D1052" s="105" t="s">
        <v>116</v>
      </c>
      <c r="E1052" s="123" t="s">
        <v>87</v>
      </c>
      <c r="F1052" s="91" t="s">
        <v>51</v>
      </c>
      <c r="G1052" s="74">
        <f>G1053+G1055</f>
        <v>16783.2</v>
      </c>
      <c r="H1052" s="74">
        <f>H1053</f>
        <v>16783.2</v>
      </c>
      <c r="I1052" s="102"/>
    </row>
    <row r="1053" spans="1:54" x14ac:dyDescent="0.3">
      <c r="A1053" s="124" t="s">
        <v>307</v>
      </c>
      <c r="B1053" s="122">
        <v>936</v>
      </c>
      <c r="C1053" s="105" t="s">
        <v>131</v>
      </c>
      <c r="D1053" s="105" t="s">
        <v>116</v>
      </c>
      <c r="E1053" s="91" t="s">
        <v>309</v>
      </c>
      <c r="F1053" s="91" t="s">
        <v>51</v>
      </c>
      <c r="G1053" s="74">
        <f>G1054</f>
        <v>16783.2</v>
      </c>
      <c r="H1053" s="74">
        <f>H1054</f>
        <v>16783.2</v>
      </c>
      <c r="I1053" s="102"/>
    </row>
    <row r="1054" spans="1:54" ht="56.25" x14ac:dyDescent="0.3">
      <c r="A1054" s="124" t="s">
        <v>267</v>
      </c>
      <c r="B1054" s="122">
        <v>936</v>
      </c>
      <c r="C1054" s="105" t="s">
        <v>131</v>
      </c>
      <c r="D1054" s="105" t="s">
        <v>116</v>
      </c>
      <c r="E1054" s="91" t="s">
        <v>309</v>
      </c>
      <c r="F1054" s="91" t="s">
        <v>264</v>
      </c>
      <c r="G1054" s="74">
        <f>17+14939.2+1287.6+539.4</f>
        <v>16783.2</v>
      </c>
      <c r="H1054" s="74">
        <f>539.4+16243.8</f>
        <v>16783.2</v>
      </c>
      <c r="I1054" s="102"/>
      <c r="O1054" s="191"/>
      <c r="P1054" s="192"/>
      <c r="R1054" s="100">
        <v>130</v>
      </c>
      <c r="AC1054" s="100">
        <v>43</v>
      </c>
      <c r="AF1054" s="100">
        <v>21.48</v>
      </c>
      <c r="AI1054" s="100">
        <v>12199.2</v>
      </c>
      <c r="AL1054" s="102">
        <v>11673.4</v>
      </c>
      <c r="AM1054" s="102">
        <v>11673.4</v>
      </c>
      <c r="AR1054" s="101">
        <f>11271.6+1172.6</f>
        <v>12444.2</v>
      </c>
      <c r="AT1054" s="101">
        <f>11271.6+1172.6</f>
        <v>12444.2</v>
      </c>
      <c r="BA1054" s="227">
        <v>14501.5</v>
      </c>
      <c r="BB1054" s="223">
        <v>14501.5</v>
      </c>
    </row>
    <row r="1055" spans="1:54" ht="41.25" hidden="1" customHeight="1" x14ac:dyDescent="0.3">
      <c r="A1055" s="125" t="s">
        <v>377</v>
      </c>
      <c r="B1055" s="122">
        <v>936</v>
      </c>
      <c r="C1055" s="105" t="s">
        <v>131</v>
      </c>
      <c r="D1055" s="105" t="s">
        <v>116</v>
      </c>
      <c r="E1055" s="91" t="s">
        <v>438</v>
      </c>
      <c r="F1055" s="91" t="s">
        <v>51</v>
      </c>
      <c r="G1055" s="74">
        <f>G1056+X1055</f>
        <v>0</v>
      </c>
      <c r="H1055" s="74">
        <f>H1056+Y1055</f>
        <v>0</v>
      </c>
      <c r="I1055" s="102"/>
      <c r="O1055" s="191"/>
      <c r="P1055" s="192"/>
    </row>
    <row r="1056" spans="1:54" ht="56.25" hidden="1" x14ac:dyDescent="0.3">
      <c r="A1056" s="124" t="s">
        <v>267</v>
      </c>
      <c r="B1056" s="122">
        <v>936</v>
      </c>
      <c r="C1056" s="105" t="s">
        <v>131</v>
      </c>
      <c r="D1056" s="105" t="s">
        <v>116</v>
      </c>
      <c r="E1056" s="91" t="s">
        <v>438</v>
      </c>
      <c r="F1056" s="91" t="s">
        <v>264</v>
      </c>
      <c r="G1056" s="74">
        <v>0</v>
      </c>
      <c r="H1056" s="74">
        <v>0</v>
      </c>
      <c r="I1056" s="102"/>
      <c r="O1056" s="191"/>
      <c r="P1056" s="192"/>
      <c r="X1056" s="100">
        <v>326.7</v>
      </c>
      <c r="AD1056" s="100">
        <v>5.1210000000000004</v>
      </c>
      <c r="AE1056" s="100">
        <v>550.5</v>
      </c>
      <c r="AI1056" s="100">
        <v>0</v>
      </c>
    </row>
    <row r="1057" spans="1:54" ht="56.25" hidden="1" x14ac:dyDescent="0.3">
      <c r="A1057" s="124" t="s">
        <v>267</v>
      </c>
      <c r="B1057" s="122">
        <v>936</v>
      </c>
      <c r="C1057" s="105" t="s">
        <v>131</v>
      </c>
      <c r="D1057" s="105" t="s">
        <v>116</v>
      </c>
      <c r="E1057" s="91" t="s">
        <v>439</v>
      </c>
      <c r="F1057" s="91" t="s">
        <v>264</v>
      </c>
      <c r="G1057" s="74">
        <v>0</v>
      </c>
      <c r="H1057" s="74">
        <v>0</v>
      </c>
      <c r="I1057" s="102"/>
    </row>
    <row r="1058" spans="1:54" ht="43.5" customHeight="1" x14ac:dyDescent="0.3">
      <c r="A1058" s="121" t="s">
        <v>145</v>
      </c>
      <c r="B1058" s="122">
        <v>936</v>
      </c>
      <c r="C1058" s="105" t="s">
        <v>131</v>
      </c>
      <c r="D1058" s="105" t="s">
        <v>116</v>
      </c>
      <c r="E1058" s="123" t="s">
        <v>89</v>
      </c>
      <c r="F1058" s="91" t="s">
        <v>51</v>
      </c>
      <c r="G1058" s="74">
        <f>G1060+G1062</f>
        <v>29035.899999999994</v>
      </c>
      <c r="H1058" s="74">
        <f>H1060+H1062</f>
        <v>30759.899999999998</v>
      </c>
      <c r="I1058" s="102"/>
      <c r="O1058" s="193"/>
      <c r="P1058" s="192"/>
    </row>
    <row r="1059" spans="1:54" ht="39" customHeight="1" x14ac:dyDescent="0.3">
      <c r="A1059" s="124" t="s">
        <v>310</v>
      </c>
      <c r="B1059" s="122">
        <v>936</v>
      </c>
      <c r="C1059" s="105" t="s">
        <v>131</v>
      </c>
      <c r="D1059" s="105" t="s">
        <v>116</v>
      </c>
      <c r="E1059" s="91" t="s">
        <v>312</v>
      </c>
      <c r="F1059" s="91" t="s">
        <v>51</v>
      </c>
      <c r="G1059" s="74">
        <f>G1060</f>
        <v>27577.799999999996</v>
      </c>
      <c r="H1059" s="74">
        <f>H1060</f>
        <v>29301.8</v>
      </c>
      <c r="I1059" s="102"/>
      <c r="O1059" s="193"/>
      <c r="P1059" s="192"/>
    </row>
    <row r="1060" spans="1:54" ht="43.5" customHeight="1" x14ac:dyDescent="0.3">
      <c r="A1060" s="124" t="s">
        <v>267</v>
      </c>
      <c r="B1060" s="122">
        <v>936</v>
      </c>
      <c r="C1060" s="105" t="s">
        <v>131</v>
      </c>
      <c r="D1060" s="105" t="s">
        <v>116</v>
      </c>
      <c r="E1060" s="91" t="s">
        <v>312</v>
      </c>
      <c r="F1060" s="91" t="s">
        <v>264</v>
      </c>
      <c r="G1060" s="74">
        <f>5042.4+23379.3+880.1-1724</f>
        <v>27577.799999999996</v>
      </c>
      <c r="H1060" s="74">
        <f>880.1+28421.7</f>
        <v>29301.8</v>
      </c>
      <c r="I1060" s="102"/>
      <c r="L1060" s="100">
        <f>25+23.5</f>
        <v>48.5</v>
      </c>
      <c r="O1060" s="193"/>
      <c r="P1060" s="192"/>
      <c r="R1060" s="100">
        <v>195.2</v>
      </c>
      <c r="S1060" s="100">
        <v>-19.5</v>
      </c>
      <c r="X1060" s="100">
        <v>49.1</v>
      </c>
      <c r="AC1060" s="100">
        <v>6</v>
      </c>
      <c r="AF1060" s="100">
        <v>371</v>
      </c>
      <c r="AI1060" s="100">
        <f>23433.6-299.5</f>
        <v>23134.1</v>
      </c>
      <c r="AL1060" s="102">
        <v>22638.7</v>
      </c>
      <c r="AM1060" s="102">
        <v>22638.7</v>
      </c>
      <c r="AR1060" s="101">
        <f>19167.8+5084.9</f>
        <v>24252.699999999997</v>
      </c>
      <c r="AT1060" s="101">
        <f>19167.8+5084.9</f>
        <v>24252.699999999997</v>
      </c>
      <c r="BA1060" s="227">
        <f>26932.4-1545.5</f>
        <v>25386.9</v>
      </c>
      <c r="BB1060" s="223">
        <f>26932.4-1545.5</f>
        <v>25386.9</v>
      </c>
    </row>
    <row r="1061" spans="1:54" ht="44.25" customHeight="1" x14ac:dyDescent="0.3">
      <c r="A1061" s="125" t="s">
        <v>377</v>
      </c>
      <c r="B1061" s="122">
        <v>936</v>
      </c>
      <c r="C1061" s="105" t="s">
        <v>131</v>
      </c>
      <c r="D1061" s="105" t="s">
        <v>116</v>
      </c>
      <c r="E1061" s="91" t="s">
        <v>539</v>
      </c>
      <c r="F1061" s="91" t="s">
        <v>51</v>
      </c>
      <c r="G1061" s="74">
        <f>G1062</f>
        <v>1458.1</v>
      </c>
      <c r="H1061" s="74">
        <f>H1062</f>
        <v>1458.1</v>
      </c>
      <c r="I1061" s="102"/>
      <c r="P1061" s="192"/>
    </row>
    <row r="1062" spans="1:54" ht="56.25" x14ac:dyDescent="0.3">
      <c r="A1062" s="124" t="s">
        <v>267</v>
      </c>
      <c r="B1062" s="122">
        <v>936</v>
      </c>
      <c r="C1062" s="105" t="s">
        <v>131</v>
      </c>
      <c r="D1062" s="105" t="s">
        <v>116</v>
      </c>
      <c r="E1062" s="91" t="s">
        <v>378</v>
      </c>
      <c r="F1062" s="91" t="s">
        <v>264</v>
      </c>
      <c r="G1062" s="74">
        <v>1458.1</v>
      </c>
      <c r="H1062" s="74">
        <v>1458.1</v>
      </c>
      <c r="I1062" s="102"/>
      <c r="O1062" s="191"/>
      <c r="P1062" s="192"/>
      <c r="X1062" s="100">
        <v>-360.1</v>
      </c>
      <c r="AD1062" s="100">
        <v>61.234999999999999</v>
      </c>
      <c r="AE1062" s="100">
        <v>982.4</v>
      </c>
      <c r="AI1062" s="100">
        <v>1516.1</v>
      </c>
      <c r="AL1062" s="102">
        <v>1516.2</v>
      </c>
      <c r="AM1062" s="102">
        <v>1516.2</v>
      </c>
      <c r="AR1062" s="101">
        <v>1522.4</v>
      </c>
      <c r="AT1062" s="101">
        <v>1522.4</v>
      </c>
      <c r="BA1062" s="227">
        <v>1545.5</v>
      </c>
      <c r="BB1062" s="223">
        <v>1545.5</v>
      </c>
    </row>
    <row r="1063" spans="1:54" ht="56.25" hidden="1" x14ac:dyDescent="0.3">
      <c r="A1063" s="125" t="s">
        <v>381</v>
      </c>
      <c r="B1063" s="122">
        <v>936</v>
      </c>
      <c r="C1063" s="105" t="s">
        <v>131</v>
      </c>
      <c r="D1063" s="105" t="s">
        <v>116</v>
      </c>
      <c r="E1063" s="91" t="s">
        <v>439</v>
      </c>
      <c r="F1063" s="91" t="s">
        <v>51</v>
      </c>
      <c r="G1063" s="74">
        <f>G1064</f>
        <v>0</v>
      </c>
      <c r="H1063" s="74">
        <f>H1064</f>
        <v>0</v>
      </c>
      <c r="I1063" s="102"/>
      <c r="O1063" s="191"/>
    </row>
    <row r="1064" spans="1:54" ht="93.75" hidden="1" x14ac:dyDescent="0.3">
      <c r="A1064" s="124" t="s">
        <v>57</v>
      </c>
      <c r="B1064" s="122">
        <v>936</v>
      </c>
      <c r="C1064" s="105" t="s">
        <v>131</v>
      </c>
      <c r="D1064" s="105" t="s">
        <v>116</v>
      </c>
      <c r="E1064" s="91" t="s">
        <v>440</v>
      </c>
      <c r="F1064" s="91" t="s">
        <v>264</v>
      </c>
      <c r="G1064" s="74"/>
      <c r="H1064" s="74"/>
      <c r="I1064" s="102"/>
      <c r="O1064" s="191"/>
    </row>
    <row r="1065" spans="1:54" ht="40.5" customHeight="1" x14ac:dyDescent="0.3">
      <c r="A1065" s="124" t="s">
        <v>417</v>
      </c>
      <c r="B1065" s="122">
        <v>936</v>
      </c>
      <c r="C1065" s="105" t="s">
        <v>131</v>
      </c>
      <c r="D1065" s="105" t="s">
        <v>116</v>
      </c>
      <c r="E1065" s="91" t="s">
        <v>91</v>
      </c>
      <c r="F1065" s="91" t="s">
        <v>51</v>
      </c>
      <c r="G1065" s="74">
        <f>G1067+G1068</f>
        <v>3724</v>
      </c>
      <c r="H1065" s="74">
        <f>H1067+H1068</f>
        <v>2000</v>
      </c>
      <c r="I1065" s="102"/>
      <c r="O1065" s="191"/>
      <c r="P1065" s="192"/>
    </row>
    <row r="1066" spans="1:54" ht="40.5" customHeight="1" x14ac:dyDescent="0.3">
      <c r="A1066" s="124" t="s">
        <v>63</v>
      </c>
      <c r="B1066" s="122">
        <v>936</v>
      </c>
      <c r="C1066" s="105" t="s">
        <v>131</v>
      </c>
      <c r="D1066" s="105" t="s">
        <v>116</v>
      </c>
      <c r="E1066" s="91" t="s">
        <v>313</v>
      </c>
      <c r="F1066" s="91" t="s">
        <v>51</v>
      </c>
      <c r="G1066" s="74">
        <f>G1067</f>
        <v>3724</v>
      </c>
      <c r="H1066" s="74">
        <f>H1067</f>
        <v>2000</v>
      </c>
      <c r="I1066" s="102"/>
      <c r="O1066" s="191"/>
      <c r="P1066" s="192"/>
    </row>
    <row r="1067" spans="1:54" ht="40.5" customHeight="1" x14ac:dyDescent="0.3">
      <c r="A1067" s="124" t="s">
        <v>267</v>
      </c>
      <c r="B1067" s="122">
        <v>936</v>
      </c>
      <c r="C1067" s="105" t="s">
        <v>131</v>
      </c>
      <c r="D1067" s="105" t="s">
        <v>116</v>
      </c>
      <c r="E1067" s="91" t="s">
        <v>315</v>
      </c>
      <c r="F1067" s="91" t="s">
        <v>264</v>
      </c>
      <c r="G1067" s="74">
        <f>2000+1724</f>
        <v>3724</v>
      </c>
      <c r="H1067" s="74">
        <v>2000</v>
      </c>
      <c r="I1067" s="102"/>
      <c r="O1067" s="191"/>
      <c r="P1067" s="192"/>
      <c r="S1067" s="100">
        <v>110</v>
      </c>
      <c r="AI1067" s="100">
        <v>638.5</v>
      </c>
      <c r="AL1067" s="102">
        <v>0</v>
      </c>
      <c r="AM1067" s="102">
        <v>0</v>
      </c>
    </row>
    <row r="1068" spans="1:54" ht="88.5" hidden="1" customHeight="1" x14ac:dyDescent="0.3">
      <c r="A1068" s="124" t="s">
        <v>316</v>
      </c>
      <c r="B1068" s="122">
        <v>936</v>
      </c>
      <c r="C1068" s="105" t="s">
        <v>131</v>
      </c>
      <c r="D1068" s="105" t="s">
        <v>116</v>
      </c>
      <c r="E1068" s="91" t="s">
        <v>317</v>
      </c>
      <c r="F1068" s="91" t="s">
        <v>51</v>
      </c>
      <c r="G1068" s="74">
        <f>G1069+G1095</f>
        <v>0</v>
      </c>
      <c r="H1068" s="74">
        <f>H1069+H1095</f>
        <v>0</v>
      </c>
      <c r="I1068" s="102"/>
      <c r="O1068" s="191"/>
      <c r="P1068" s="192"/>
    </row>
    <row r="1069" spans="1:54" ht="45.75" hidden="1" customHeight="1" x14ac:dyDescent="0.3">
      <c r="A1069" s="124" t="s">
        <v>433</v>
      </c>
      <c r="B1069" s="122">
        <v>936</v>
      </c>
      <c r="C1069" s="105" t="s">
        <v>131</v>
      </c>
      <c r="D1069" s="105" t="s">
        <v>116</v>
      </c>
      <c r="E1069" s="91" t="s">
        <v>317</v>
      </c>
      <c r="F1069" s="91" t="s">
        <v>60</v>
      </c>
      <c r="G1069" s="74">
        <v>0</v>
      </c>
      <c r="H1069" s="74">
        <v>0</v>
      </c>
      <c r="I1069" s="102"/>
      <c r="L1069" s="191"/>
      <c r="AI1069" s="100">
        <v>32</v>
      </c>
      <c r="AL1069" s="102">
        <v>0</v>
      </c>
      <c r="AM1069" s="102">
        <v>0</v>
      </c>
    </row>
    <row r="1070" spans="1:54" ht="56.25" hidden="1" x14ac:dyDescent="0.3">
      <c r="A1070" s="125" t="s">
        <v>381</v>
      </c>
      <c r="B1070" s="122">
        <v>936</v>
      </c>
      <c r="C1070" s="105" t="s">
        <v>131</v>
      </c>
      <c r="D1070" s="105" t="s">
        <v>116</v>
      </c>
      <c r="E1070" s="91" t="s">
        <v>440</v>
      </c>
      <c r="F1070" s="91" t="s">
        <v>51</v>
      </c>
      <c r="G1070" s="74">
        <f>G1071</f>
        <v>0</v>
      </c>
      <c r="H1070" s="74">
        <f>H1071</f>
        <v>0</v>
      </c>
      <c r="I1070" s="102"/>
      <c r="L1070" s="191"/>
      <c r="AL1070" s="100"/>
      <c r="AM1070" s="100"/>
    </row>
    <row r="1071" spans="1:54" ht="56.25" hidden="1" outlineLevel="1" x14ac:dyDescent="0.3">
      <c r="A1071" s="124" t="s">
        <v>411</v>
      </c>
      <c r="B1071" s="122">
        <v>936</v>
      </c>
      <c r="C1071" s="105" t="s">
        <v>131</v>
      </c>
      <c r="D1071" s="105" t="s">
        <v>116</v>
      </c>
      <c r="E1071" s="91" t="s">
        <v>412</v>
      </c>
      <c r="F1071" s="91" t="s">
        <v>51</v>
      </c>
      <c r="G1071" s="74">
        <f>G1072</f>
        <v>0</v>
      </c>
      <c r="H1071" s="74">
        <f>H1072</f>
        <v>0</v>
      </c>
      <c r="I1071" s="102"/>
      <c r="L1071" s="191"/>
      <c r="AL1071" s="100"/>
      <c r="AM1071" s="100"/>
    </row>
    <row r="1072" spans="1:54" ht="36" hidden="1" customHeight="1" outlineLevel="1" x14ac:dyDescent="0.3">
      <c r="A1072" s="124" t="s">
        <v>267</v>
      </c>
      <c r="B1072" s="122">
        <v>936</v>
      </c>
      <c r="C1072" s="105" t="s">
        <v>131</v>
      </c>
      <c r="D1072" s="105" t="s">
        <v>116</v>
      </c>
      <c r="E1072" s="91" t="s">
        <v>412</v>
      </c>
      <c r="F1072" s="91" t="s">
        <v>264</v>
      </c>
      <c r="G1072" s="74">
        <f>2.6-0.858-1.742</f>
        <v>0</v>
      </c>
      <c r="H1072" s="74">
        <f>2.6-0.858-1.742</f>
        <v>0</v>
      </c>
      <c r="I1072" s="102"/>
      <c r="L1072" s="191"/>
      <c r="AL1072" s="100"/>
      <c r="AM1072" s="100"/>
    </row>
    <row r="1073" spans="1:39" ht="56.25" hidden="1" x14ac:dyDescent="0.3">
      <c r="A1073" s="121" t="s">
        <v>11</v>
      </c>
      <c r="B1073" s="122">
        <v>936</v>
      </c>
      <c r="C1073" s="105" t="s">
        <v>131</v>
      </c>
      <c r="D1073" s="105" t="s">
        <v>116</v>
      </c>
      <c r="E1073" s="123" t="s">
        <v>29</v>
      </c>
      <c r="F1073" s="91" t="s">
        <v>51</v>
      </c>
      <c r="G1073" s="74" t="e">
        <f>#REF!</f>
        <v>#REF!</v>
      </c>
      <c r="H1073" s="74" t="e">
        <f>#REF!</f>
        <v>#REF!</v>
      </c>
      <c r="I1073" s="102"/>
      <c r="L1073" s="191"/>
      <c r="AL1073" s="100"/>
      <c r="AM1073" s="100"/>
    </row>
    <row r="1074" spans="1:39" ht="39" hidden="1" customHeight="1" x14ac:dyDescent="0.3">
      <c r="A1074" s="124" t="s">
        <v>267</v>
      </c>
      <c r="B1074" s="122">
        <v>936</v>
      </c>
      <c r="C1074" s="105" t="s">
        <v>131</v>
      </c>
      <c r="D1074" s="105" t="s">
        <v>116</v>
      </c>
      <c r="E1074" s="91" t="s">
        <v>317</v>
      </c>
      <c r="F1074" s="91" t="s">
        <v>264</v>
      </c>
      <c r="G1074" s="74">
        <v>0</v>
      </c>
      <c r="H1074" s="74">
        <v>0</v>
      </c>
      <c r="I1074" s="102"/>
      <c r="L1074" s="191"/>
      <c r="AL1074" s="100"/>
      <c r="AM1074" s="100"/>
    </row>
    <row r="1075" spans="1:39" ht="56.25" hidden="1" x14ac:dyDescent="0.3">
      <c r="A1075" s="124" t="s">
        <v>256</v>
      </c>
      <c r="B1075" s="122">
        <v>936</v>
      </c>
      <c r="C1075" s="105" t="s">
        <v>131</v>
      </c>
      <c r="D1075" s="105" t="s">
        <v>116</v>
      </c>
      <c r="E1075" s="91" t="s">
        <v>258</v>
      </c>
      <c r="F1075" s="91" t="s">
        <v>51</v>
      </c>
      <c r="G1075" s="74">
        <f t="shared" ref="G1075:H1077" si="47">G1076</f>
        <v>0</v>
      </c>
      <c r="H1075" s="74">
        <f t="shared" si="47"/>
        <v>0</v>
      </c>
      <c r="I1075" s="102"/>
      <c r="L1075" s="191"/>
      <c r="AL1075" s="100"/>
      <c r="AM1075" s="100"/>
    </row>
    <row r="1076" spans="1:39" ht="56.25" hidden="1" x14ac:dyDescent="0.3">
      <c r="A1076" s="121" t="s">
        <v>162</v>
      </c>
      <c r="B1076" s="122">
        <v>936</v>
      </c>
      <c r="C1076" s="105" t="s">
        <v>131</v>
      </c>
      <c r="D1076" s="105" t="s">
        <v>116</v>
      </c>
      <c r="E1076" s="123" t="s">
        <v>100</v>
      </c>
      <c r="F1076" s="91" t="s">
        <v>51</v>
      </c>
      <c r="G1076" s="74">
        <f t="shared" si="47"/>
        <v>0</v>
      </c>
      <c r="H1076" s="74">
        <f t="shared" si="47"/>
        <v>0</v>
      </c>
      <c r="I1076" s="102"/>
      <c r="L1076" s="191"/>
      <c r="AL1076" s="100"/>
      <c r="AM1076" s="100"/>
    </row>
    <row r="1077" spans="1:39" ht="37.5" hidden="1" x14ac:dyDescent="0.3">
      <c r="A1077" s="170" t="s">
        <v>132</v>
      </c>
      <c r="B1077" s="118">
        <v>936</v>
      </c>
      <c r="C1077" s="120" t="s">
        <v>131</v>
      </c>
      <c r="D1077" s="120" t="s">
        <v>122</v>
      </c>
      <c r="E1077" s="114" t="s">
        <v>50</v>
      </c>
      <c r="F1077" s="114" t="s">
        <v>51</v>
      </c>
      <c r="G1077" s="93">
        <f t="shared" si="47"/>
        <v>0</v>
      </c>
      <c r="H1077" s="93">
        <f t="shared" si="47"/>
        <v>0</v>
      </c>
      <c r="I1077" s="102"/>
      <c r="L1077" s="191"/>
      <c r="AL1077" s="100"/>
      <c r="AM1077" s="100"/>
    </row>
    <row r="1078" spans="1:39" ht="42.75" hidden="1" customHeight="1" x14ac:dyDescent="0.3">
      <c r="A1078" s="124" t="s">
        <v>252</v>
      </c>
      <c r="B1078" s="122">
        <v>936</v>
      </c>
      <c r="C1078" s="105" t="s">
        <v>131</v>
      </c>
      <c r="D1078" s="105" t="s">
        <v>116</v>
      </c>
      <c r="E1078" s="91" t="s">
        <v>257</v>
      </c>
      <c r="F1078" s="91" t="s">
        <v>51</v>
      </c>
      <c r="G1078" s="74">
        <f>G1082</f>
        <v>0</v>
      </c>
      <c r="H1078" s="74">
        <f>H1082</f>
        <v>0</v>
      </c>
      <c r="I1078" s="102"/>
      <c r="L1078" s="191"/>
      <c r="AL1078" s="100"/>
      <c r="AM1078" s="100"/>
    </row>
    <row r="1079" spans="1:39" ht="42.75" hidden="1" customHeight="1" x14ac:dyDescent="0.3">
      <c r="A1079" s="194" t="s">
        <v>159</v>
      </c>
      <c r="B1079" s="122">
        <v>936</v>
      </c>
      <c r="C1079" s="105" t="s">
        <v>131</v>
      </c>
      <c r="D1079" s="105" t="s">
        <v>122</v>
      </c>
      <c r="E1079" s="91" t="s">
        <v>86</v>
      </c>
      <c r="F1079" s="91" t="s">
        <v>51</v>
      </c>
      <c r="G1079" s="74">
        <v>0</v>
      </c>
      <c r="H1079" s="74">
        <v>0</v>
      </c>
      <c r="I1079" s="102"/>
      <c r="L1079" s="191"/>
      <c r="AL1079" s="100"/>
      <c r="AM1079" s="100"/>
    </row>
    <row r="1080" spans="1:39" ht="72" hidden="1" customHeight="1" x14ac:dyDescent="0.3">
      <c r="A1080" s="194" t="s">
        <v>143</v>
      </c>
      <c r="B1080" s="122">
        <v>936</v>
      </c>
      <c r="C1080" s="105" t="s">
        <v>131</v>
      </c>
      <c r="D1080" s="105" t="s">
        <v>122</v>
      </c>
      <c r="E1080" s="91" t="s">
        <v>87</v>
      </c>
      <c r="F1080" s="91" t="s">
        <v>51</v>
      </c>
      <c r="G1080" s="74" t="e">
        <v>#REF!</v>
      </c>
      <c r="H1080" s="74" t="e">
        <v>#REF!</v>
      </c>
      <c r="I1080" s="102"/>
      <c r="L1080" s="191"/>
      <c r="AL1080" s="100"/>
      <c r="AM1080" s="100"/>
    </row>
    <row r="1081" spans="1:39" ht="42.75" hidden="1" customHeight="1" x14ac:dyDescent="0.3">
      <c r="A1081" s="194" t="s">
        <v>63</v>
      </c>
      <c r="B1081" s="122">
        <v>936</v>
      </c>
      <c r="C1081" s="105" t="s">
        <v>131</v>
      </c>
      <c r="D1081" s="105" t="s">
        <v>116</v>
      </c>
      <c r="E1081" s="91" t="s">
        <v>313</v>
      </c>
      <c r="F1081" s="91" t="s">
        <v>51</v>
      </c>
      <c r="G1081" s="74" t="e">
        <v>#REF!</v>
      </c>
      <c r="H1081" s="74" t="e">
        <v>#REF!</v>
      </c>
      <c r="I1081" s="102"/>
      <c r="L1081" s="191"/>
      <c r="AL1081" s="100"/>
      <c r="AM1081" s="100"/>
    </row>
    <row r="1082" spans="1:39" ht="37.5" hidden="1" customHeight="1" x14ac:dyDescent="0.3">
      <c r="A1082" s="194" t="s">
        <v>417</v>
      </c>
      <c r="B1082" s="122">
        <v>936</v>
      </c>
      <c r="C1082" s="105" t="s">
        <v>131</v>
      </c>
      <c r="D1082" s="105" t="s">
        <v>122</v>
      </c>
      <c r="E1082" s="91" t="s">
        <v>91</v>
      </c>
      <c r="F1082" s="91" t="s">
        <v>51</v>
      </c>
      <c r="G1082" s="74">
        <f>G1083</f>
        <v>0</v>
      </c>
      <c r="H1082" s="74">
        <f>H1083</f>
        <v>0</v>
      </c>
      <c r="I1082" s="102"/>
      <c r="L1082" s="191"/>
      <c r="AL1082" s="100"/>
      <c r="AM1082" s="100"/>
    </row>
    <row r="1083" spans="1:39" ht="51" hidden="1" customHeight="1" x14ac:dyDescent="0.3">
      <c r="A1083" s="124" t="s">
        <v>267</v>
      </c>
      <c r="B1083" s="122">
        <v>936</v>
      </c>
      <c r="C1083" s="105" t="s">
        <v>131</v>
      </c>
      <c r="D1083" s="105" t="s">
        <v>116</v>
      </c>
      <c r="E1083" s="91" t="s">
        <v>258</v>
      </c>
      <c r="F1083" s="91" t="s">
        <v>264</v>
      </c>
      <c r="G1083" s="74">
        <v>0</v>
      </c>
      <c r="H1083" s="74">
        <v>0</v>
      </c>
      <c r="I1083" s="102"/>
      <c r="L1083" s="191"/>
      <c r="AL1083" s="100"/>
      <c r="AM1083" s="100"/>
    </row>
    <row r="1084" spans="1:39" ht="63" hidden="1" customHeight="1" x14ac:dyDescent="0.3">
      <c r="A1084" s="124" t="s">
        <v>433</v>
      </c>
      <c r="B1084" s="122">
        <v>936</v>
      </c>
      <c r="C1084" s="105" t="s">
        <v>131</v>
      </c>
      <c r="D1084" s="105" t="s">
        <v>122</v>
      </c>
      <c r="E1084" s="123" t="s">
        <v>506</v>
      </c>
      <c r="F1084" s="91" t="s">
        <v>60</v>
      </c>
      <c r="G1084" s="74">
        <v>0</v>
      </c>
      <c r="H1084" s="74">
        <v>0</v>
      </c>
      <c r="I1084" s="102"/>
      <c r="L1084" s="191"/>
      <c r="AL1084" s="100"/>
      <c r="AM1084" s="100"/>
    </row>
    <row r="1085" spans="1:39" ht="42.75" hidden="1" customHeight="1" x14ac:dyDescent="0.3">
      <c r="A1085" s="119" t="s">
        <v>38</v>
      </c>
      <c r="B1085" s="118">
        <v>936</v>
      </c>
      <c r="C1085" s="149" t="s">
        <v>129</v>
      </c>
      <c r="D1085" s="154" t="s">
        <v>124</v>
      </c>
      <c r="E1085" s="195" t="s">
        <v>25</v>
      </c>
      <c r="F1085" s="114" t="s">
        <v>51</v>
      </c>
      <c r="G1085" s="93">
        <f>G1086</f>
        <v>0</v>
      </c>
      <c r="H1085" s="93">
        <f>H1086</f>
        <v>0</v>
      </c>
      <c r="I1085" s="102"/>
      <c r="L1085" s="191"/>
      <c r="AL1085" s="100"/>
      <c r="AM1085" s="100"/>
    </row>
    <row r="1086" spans="1:39" ht="66.75" hidden="1" customHeight="1" x14ac:dyDescent="0.3">
      <c r="A1086" s="124" t="s">
        <v>529</v>
      </c>
      <c r="B1086" s="122">
        <v>936</v>
      </c>
      <c r="C1086" s="105" t="s">
        <v>129</v>
      </c>
      <c r="D1086" s="105" t="s">
        <v>129</v>
      </c>
      <c r="E1086" s="91" t="s">
        <v>528</v>
      </c>
      <c r="F1086" s="91"/>
      <c r="G1086" s="74"/>
      <c r="H1086" s="74"/>
      <c r="I1086" s="102"/>
      <c r="L1086" s="191"/>
    </row>
    <row r="1087" spans="1:39" ht="51.75" hidden="1" customHeight="1" x14ac:dyDescent="0.3">
      <c r="A1087" s="119" t="s">
        <v>53</v>
      </c>
      <c r="B1087" s="114" t="s">
        <v>288</v>
      </c>
      <c r="C1087" s="149" t="s">
        <v>129</v>
      </c>
      <c r="D1087" s="154" t="s">
        <v>124</v>
      </c>
      <c r="E1087" s="114" t="s">
        <v>54</v>
      </c>
      <c r="F1087" s="114" t="s">
        <v>51</v>
      </c>
      <c r="G1087" s="93" t="e">
        <f>G1088</f>
        <v>#REF!</v>
      </c>
      <c r="H1087" s="93" t="e">
        <f>H1088</f>
        <v>#REF!</v>
      </c>
      <c r="I1087" s="102"/>
      <c r="L1087" s="191"/>
    </row>
    <row r="1088" spans="1:39" ht="68.25" hidden="1" customHeight="1" x14ac:dyDescent="0.3">
      <c r="A1088" s="119" t="s">
        <v>495</v>
      </c>
      <c r="B1088" s="118">
        <v>936</v>
      </c>
      <c r="C1088" s="120" t="s">
        <v>129</v>
      </c>
      <c r="D1088" s="120" t="s">
        <v>124</v>
      </c>
      <c r="E1088" s="114" t="s">
        <v>494</v>
      </c>
      <c r="F1088" s="114" t="s">
        <v>51</v>
      </c>
      <c r="G1088" s="93" t="e">
        <f>G1094+G1089</f>
        <v>#REF!</v>
      </c>
      <c r="H1088" s="93" t="e">
        <f>H1094+H1089</f>
        <v>#REF!</v>
      </c>
      <c r="I1088" s="102"/>
      <c r="L1088" s="191"/>
    </row>
    <row r="1089" spans="1:39" ht="48.75" hidden="1" customHeight="1" x14ac:dyDescent="0.3">
      <c r="A1089" s="119" t="s">
        <v>267</v>
      </c>
      <c r="B1089" s="114" t="s">
        <v>288</v>
      </c>
      <c r="C1089" s="149" t="s">
        <v>129</v>
      </c>
      <c r="D1089" s="154" t="s">
        <v>124</v>
      </c>
      <c r="E1089" s="114" t="s">
        <v>39</v>
      </c>
      <c r="F1089" s="114" t="s">
        <v>264</v>
      </c>
      <c r="G1089" s="93">
        <v>0</v>
      </c>
      <c r="H1089" s="93">
        <v>0</v>
      </c>
      <c r="I1089" s="102"/>
      <c r="L1089" s="191"/>
    </row>
    <row r="1090" spans="1:39" ht="35.25" hidden="1" customHeight="1" x14ac:dyDescent="0.3">
      <c r="A1090" s="196" t="s">
        <v>139</v>
      </c>
      <c r="B1090" s="118">
        <v>936</v>
      </c>
      <c r="C1090" s="149" t="s">
        <v>129</v>
      </c>
      <c r="D1090" s="154" t="s">
        <v>124</v>
      </c>
      <c r="E1090" s="195" t="s">
        <v>52</v>
      </c>
      <c r="F1090" s="114" t="s">
        <v>51</v>
      </c>
      <c r="G1090" s="93">
        <f t="shared" ref="G1090:H1092" si="48">G1091</f>
        <v>0</v>
      </c>
      <c r="H1090" s="93">
        <f t="shared" si="48"/>
        <v>0</v>
      </c>
      <c r="I1090" s="102"/>
      <c r="L1090" s="191"/>
    </row>
    <row r="1091" spans="1:39" ht="51.75" hidden="1" customHeight="1" x14ac:dyDescent="0.3">
      <c r="A1091" s="119" t="s">
        <v>417</v>
      </c>
      <c r="B1091" s="118">
        <v>936</v>
      </c>
      <c r="C1091" s="149" t="s">
        <v>129</v>
      </c>
      <c r="D1091" s="154" t="s">
        <v>124</v>
      </c>
      <c r="E1091" s="114" t="s">
        <v>45</v>
      </c>
      <c r="F1091" s="114" t="s">
        <v>51</v>
      </c>
      <c r="G1091" s="93">
        <f t="shared" si="48"/>
        <v>0</v>
      </c>
      <c r="H1091" s="93">
        <f t="shared" si="48"/>
        <v>0</v>
      </c>
      <c r="I1091" s="102"/>
      <c r="L1091" s="191"/>
    </row>
    <row r="1092" spans="1:39" ht="60.75" hidden="1" customHeight="1" x14ac:dyDescent="0.3">
      <c r="A1092" s="119" t="s">
        <v>74</v>
      </c>
      <c r="B1092" s="114" t="s">
        <v>288</v>
      </c>
      <c r="C1092" s="149" t="s">
        <v>129</v>
      </c>
      <c r="D1092" s="154" t="s">
        <v>124</v>
      </c>
      <c r="E1092" s="114" t="s">
        <v>39</v>
      </c>
      <c r="F1092" s="114" t="s">
        <v>51</v>
      </c>
      <c r="G1092" s="93">
        <f t="shared" si="48"/>
        <v>0</v>
      </c>
      <c r="H1092" s="93">
        <f t="shared" si="48"/>
        <v>0</v>
      </c>
      <c r="I1092" s="102"/>
      <c r="L1092" s="191"/>
    </row>
    <row r="1093" spans="1:39" ht="28.5" hidden="1" customHeight="1" x14ac:dyDescent="0.3">
      <c r="A1093" s="119" t="s">
        <v>433</v>
      </c>
      <c r="B1093" s="118">
        <v>936</v>
      </c>
      <c r="C1093" s="120" t="s">
        <v>129</v>
      </c>
      <c r="D1093" s="120" t="s">
        <v>124</v>
      </c>
      <c r="E1093" s="114" t="s">
        <v>497</v>
      </c>
      <c r="F1093" s="114" t="s">
        <v>60</v>
      </c>
      <c r="G1093" s="93">
        <v>0</v>
      </c>
      <c r="H1093" s="93">
        <v>0</v>
      </c>
      <c r="I1093" s="102"/>
      <c r="L1093" s="191"/>
    </row>
    <row r="1094" spans="1:39" ht="104.25" hidden="1" customHeight="1" x14ac:dyDescent="0.3">
      <c r="A1094" s="147" t="s">
        <v>16</v>
      </c>
      <c r="B1094" s="118">
        <v>936</v>
      </c>
      <c r="C1094" s="149" t="s">
        <v>129</v>
      </c>
      <c r="D1094" s="154" t="s">
        <v>124</v>
      </c>
      <c r="E1094" s="195" t="s">
        <v>32</v>
      </c>
      <c r="F1094" s="195" t="s">
        <v>51</v>
      </c>
      <c r="G1094" s="93" t="e">
        <f>#REF!</f>
        <v>#REF!</v>
      </c>
      <c r="H1094" s="93" t="e">
        <f>#REF!</f>
        <v>#REF!</v>
      </c>
      <c r="I1094" s="102"/>
      <c r="L1094" s="191"/>
    </row>
    <row r="1095" spans="1:39" ht="44.25" hidden="1" customHeight="1" x14ac:dyDescent="0.3">
      <c r="A1095" s="124" t="s">
        <v>267</v>
      </c>
      <c r="B1095" s="140" t="s">
        <v>288</v>
      </c>
      <c r="C1095" s="140" t="s">
        <v>131</v>
      </c>
      <c r="D1095" s="174" t="s">
        <v>116</v>
      </c>
      <c r="E1095" s="91" t="s">
        <v>317</v>
      </c>
      <c r="F1095" s="123" t="s">
        <v>264</v>
      </c>
      <c r="G1095" s="74">
        <v>0</v>
      </c>
      <c r="H1095" s="74">
        <v>0</v>
      </c>
      <c r="I1095" s="102"/>
      <c r="K1095" s="100">
        <v>140</v>
      </c>
      <c r="L1095" s="191"/>
      <c r="AC1095" s="100">
        <v>12.5</v>
      </c>
      <c r="AF1095" s="100">
        <v>0.02</v>
      </c>
      <c r="AI1095" s="100">
        <v>150</v>
      </c>
      <c r="AL1095" s="102">
        <v>0</v>
      </c>
      <c r="AM1095" s="102">
        <v>0</v>
      </c>
    </row>
    <row r="1096" spans="1:39" ht="45" hidden="1" customHeight="1" x14ac:dyDescent="0.3">
      <c r="A1096" s="121" t="s">
        <v>162</v>
      </c>
      <c r="B1096" s="140" t="s">
        <v>288</v>
      </c>
      <c r="C1096" s="140" t="s">
        <v>131</v>
      </c>
      <c r="D1096" s="174" t="s">
        <v>116</v>
      </c>
      <c r="E1096" s="123" t="s">
        <v>100</v>
      </c>
      <c r="F1096" s="140" t="s">
        <v>51</v>
      </c>
      <c r="G1096" s="74">
        <f>G1097</f>
        <v>0</v>
      </c>
      <c r="H1096" s="74">
        <f>H1097</f>
        <v>-403.94900000000001</v>
      </c>
      <c r="I1096" s="102"/>
      <c r="L1096" s="191"/>
    </row>
    <row r="1097" spans="1:39" ht="66" hidden="1" customHeight="1" x14ac:dyDescent="0.3">
      <c r="A1097" s="121" t="s">
        <v>11</v>
      </c>
      <c r="B1097" s="122">
        <v>936</v>
      </c>
      <c r="C1097" s="91" t="s">
        <v>131</v>
      </c>
      <c r="D1097" s="91" t="s">
        <v>116</v>
      </c>
      <c r="E1097" s="123" t="s">
        <v>29</v>
      </c>
      <c r="F1097" s="91" t="s">
        <v>51</v>
      </c>
      <c r="G1097" s="74">
        <f>G1098+G1103+G1106+G1108</f>
        <v>0</v>
      </c>
      <c r="H1097" s="74">
        <f>H1098+H1103+H1106+H1108</f>
        <v>-403.94900000000001</v>
      </c>
      <c r="I1097" s="102"/>
      <c r="L1097" s="191"/>
    </row>
    <row r="1098" spans="1:39" ht="54" hidden="1" customHeight="1" x14ac:dyDescent="0.3">
      <c r="A1098" s="124" t="s">
        <v>252</v>
      </c>
      <c r="B1098" s="122">
        <v>936</v>
      </c>
      <c r="C1098" s="91" t="s">
        <v>131</v>
      </c>
      <c r="D1098" s="91" t="s">
        <v>116</v>
      </c>
      <c r="E1098" s="91" t="s">
        <v>257</v>
      </c>
      <c r="F1098" s="91" t="s">
        <v>51</v>
      </c>
      <c r="G1098" s="74">
        <f>G1099+G1101</f>
        <v>0</v>
      </c>
      <c r="H1098" s="74">
        <f>H1099+H1101</f>
        <v>0</v>
      </c>
      <c r="I1098" s="102"/>
      <c r="L1098" s="191"/>
    </row>
    <row r="1099" spans="1:39" ht="136.5" hidden="1" customHeight="1" x14ac:dyDescent="0.3">
      <c r="A1099" s="124" t="s">
        <v>600</v>
      </c>
      <c r="B1099" s="122">
        <v>936</v>
      </c>
      <c r="C1099" s="91" t="s">
        <v>131</v>
      </c>
      <c r="D1099" s="91" t="s">
        <v>116</v>
      </c>
      <c r="E1099" s="123" t="s">
        <v>655</v>
      </c>
      <c r="F1099" s="91" t="s">
        <v>51</v>
      </c>
      <c r="G1099" s="74">
        <f>G1100</f>
        <v>0</v>
      </c>
      <c r="H1099" s="74">
        <f>H1100</f>
        <v>0</v>
      </c>
      <c r="I1099" s="102"/>
      <c r="L1099" s="191"/>
    </row>
    <row r="1100" spans="1:39" ht="45.75" hidden="1" customHeight="1" x14ac:dyDescent="0.3">
      <c r="A1100" s="124" t="s">
        <v>433</v>
      </c>
      <c r="B1100" s="122">
        <v>936</v>
      </c>
      <c r="C1100" s="91" t="s">
        <v>131</v>
      </c>
      <c r="D1100" s="91" t="s">
        <v>116</v>
      </c>
      <c r="E1100" s="123" t="s">
        <v>655</v>
      </c>
      <c r="F1100" s="91" t="s">
        <v>60</v>
      </c>
      <c r="G1100" s="74">
        <v>0</v>
      </c>
      <c r="H1100" s="74">
        <v>0</v>
      </c>
      <c r="I1100" s="102"/>
      <c r="L1100" s="191" t="s">
        <v>618</v>
      </c>
      <c r="AI1100" s="100">
        <v>0</v>
      </c>
    </row>
    <row r="1101" spans="1:39" ht="129.75" hidden="1" customHeight="1" x14ac:dyDescent="0.3">
      <c r="A1101" s="124" t="s">
        <v>601</v>
      </c>
      <c r="B1101" s="122">
        <v>936</v>
      </c>
      <c r="C1101" s="91" t="s">
        <v>131</v>
      </c>
      <c r="D1101" s="91" t="s">
        <v>116</v>
      </c>
      <c r="E1101" s="123" t="s">
        <v>651</v>
      </c>
      <c r="F1101" s="91" t="s">
        <v>51</v>
      </c>
      <c r="G1101" s="74">
        <f>G1102</f>
        <v>0</v>
      </c>
      <c r="H1101" s="74">
        <f>H1102</f>
        <v>0</v>
      </c>
      <c r="I1101" s="102"/>
      <c r="L1101" s="191"/>
    </row>
    <row r="1102" spans="1:39" ht="39.75" hidden="1" customHeight="1" x14ac:dyDescent="0.3">
      <c r="A1102" s="124" t="s">
        <v>267</v>
      </c>
      <c r="B1102" s="122">
        <v>936</v>
      </c>
      <c r="C1102" s="91" t="s">
        <v>131</v>
      </c>
      <c r="D1102" s="91" t="s">
        <v>116</v>
      </c>
      <c r="E1102" s="123" t="s">
        <v>651</v>
      </c>
      <c r="F1102" s="123" t="s">
        <v>264</v>
      </c>
      <c r="G1102" s="74">
        <v>0</v>
      </c>
      <c r="H1102" s="74">
        <v>0</v>
      </c>
      <c r="I1102" s="102">
        <v>1000</v>
      </c>
      <c r="L1102" s="191"/>
      <c r="AI1102" s="100">
        <v>0</v>
      </c>
      <c r="AL1102" s="100"/>
      <c r="AM1102" s="100"/>
    </row>
    <row r="1103" spans="1:39" ht="135.75" hidden="1" customHeight="1" x14ac:dyDescent="0.3">
      <c r="A1103" s="124" t="s">
        <v>600</v>
      </c>
      <c r="B1103" s="122">
        <v>936</v>
      </c>
      <c r="C1103" s="91" t="s">
        <v>131</v>
      </c>
      <c r="D1103" s="91" t="s">
        <v>116</v>
      </c>
      <c r="E1103" s="123" t="s">
        <v>641</v>
      </c>
      <c r="F1103" s="123" t="s">
        <v>51</v>
      </c>
      <c r="G1103" s="74">
        <f>G1105+G1104</f>
        <v>0</v>
      </c>
      <c r="H1103" s="74">
        <f>H1105+H1104</f>
        <v>-233.94900000000001</v>
      </c>
      <c r="I1103" s="102"/>
      <c r="L1103" s="191"/>
      <c r="AL1103" s="100"/>
      <c r="AM1103" s="100"/>
    </row>
    <row r="1104" spans="1:39" ht="52.5" hidden="1" customHeight="1" x14ac:dyDescent="0.3">
      <c r="A1104" s="124" t="s">
        <v>433</v>
      </c>
      <c r="B1104" s="122">
        <v>936</v>
      </c>
      <c r="C1104" s="91" t="s">
        <v>131</v>
      </c>
      <c r="D1104" s="91" t="s">
        <v>116</v>
      </c>
      <c r="E1104" s="123" t="s">
        <v>641</v>
      </c>
      <c r="F1104" s="123" t="s">
        <v>60</v>
      </c>
      <c r="G1104" s="74">
        <v>0</v>
      </c>
      <c r="H1104" s="74">
        <v>0</v>
      </c>
      <c r="I1104" s="102"/>
      <c r="L1104" s="191" t="s">
        <v>621</v>
      </c>
      <c r="AI1104" s="100">
        <v>0</v>
      </c>
      <c r="AL1104" s="100"/>
      <c r="AM1104" s="100"/>
    </row>
    <row r="1105" spans="1:39" ht="42" hidden="1" customHeight="1" x14ac:dyDescent="0.3">
      <c r="A1105" s="124" t="s">
        <v>267</v>
      </c>
      <c r="B1105" s="122">
        <v>936</v>
      </c>
      <c r="C1105" s="91" t="s">
        <v>131</v>
      </c>
      <c r="D1105" s="91" t="s">
        <v>116</v>
      </c>
      <c r="E1105" s="123" t="s">
        <v>641</v>
      </c>
      <c r="F1105" s="123" t="s">
        <v>264</v>
      </c>
      <c r="G1105" s="74">
        <f>K1105+L1105</f>
        <v>0</v>
      </c>
      <c r="H1105" s="74">
        <f>L1105+M1105</f>
        <v>-233.94900000000001</v>
      </c>
      <c r="I1105" s="102"/>
      <c r="K1105" s="100">
        <v>233.94900000000001</v>
      </c>
      <c r="L1105" s="191" t="s">
        <v>617</v>
      </c>
      <c r="AI1105" s="100">
        <v>0</v>
      </c>
      <c r="AL1105" s="100"/>
      <c r="AM1105" s="100"/>
    </row>
    <row r="1106" spans="1:39" ht="169.5" hidden="1" customHeight="1" x14ac:dyDescent="0.3">
      <c r="A1106" s="124" t="s">
        <v>601</v>
      </c>
      <c r="B1106" s="122">
        <v>936</v>
      </c>
      <c r="C1106" s="91" t="s">
        <v>131</v>
      </c>
      <c r="D1106" s="91" t="s">
        <v>116</v>
      </c>
      <c r="E1106" s="123" t="s">
        <v>637</v>
      </c>
      <c r="F1106" s="123" t="s">
        <v>51</v>
      </c>
      <c r="G1106" s="74">
        <f>G1107</f>
        <v>0</v>
      </c>
      <c r="H1106" s="74">
        <f>H1107</f>
        <v>0</v>
      </c>
      <c r="I1106" s="102"/>
      <c r="L1106" s="191"/>
      <c r="AL1106" s="100"/>
      <c r="AM1106" s="100"/>
    </row>
    <row r="1107" spans="1:39" ht="40.5" hidden="1" customHeight="1" x14ac:dyDescent="0.3">
      <c r="A1107" s="124" t="s">
        <v>267</v>
      </c>
      <c r="B1107" s="122">
        <v>936</v>
      </c>
      <c r="C1107" s="91" t="s">
        <v>131</v>
      </c>
      <c r="D1107" s="91" t="s">
        <v>116</v>
      </c>
      <c r="E1107" s="123" t="s">
        <v>637</v>
      </c>
      <c r="F1107" s="123" t="s">
        <v>264</v>
      </c>
      <c r="G1107" s="74">
        <v>0</v>
      </c>
      <c r="H1107" s="74">
        <v>0</v>
      </c>
      <c r="I1107" s="102"/>
      <c r="K1107" s="100">
        <v>487.02300000000002</v>
      </c>
      <c r="L1107" s="191"/>
      <c r="AI1107" s="100">
        <v>0</v>
      </c>
      <c r="AL1107" s="100"/>
      <c r="AM1107" s="100"/>
    </row>
    <row r="1108" spans="1:39" ht="24.75" hidden="1" customHeight="1" x14ac:dyDescent="0.3">
      <c r="A1108" s="124" t="s">
        <v>63</v>
      </c>
      <c r="B1108" s="122">
        <v>936</v>
      </c>
      <c r="C1108" s="91" t="s">
        <v>131</v>
      </c>
      <c r="D1108" s="91" t="s">
        <v>116</v>
      </c>
      <c r="E1108" s="91" t="s">
        <v>254</v>
      </c>
      <c r="F1108" s="91" t="s">
        <v>51</v>
      </c>
      <c r="G1108" s="74">
        <f>G1109+G1112</f>
        <v>0</v>
      </c>
      <c r="H1108" s="74">
        <f>H1109+H1112</f>
        <v>-170</v>
      </c>
      <c r="I1108" s="102"/>
      <c r="L1108" s="191"/>
      <c r="AL1108" s="100"/>
      <c r="AM1108" s="100"/>
    </row>
    <row r="1109" spans="1:39" ht="117.75" hidden="1" customHeight="1" x14ac:dyDescent="0.3">
      <c r="A1109" s="124" t="s">
        <v>602</v>
      </c>
      <c r="B1109" s="122">
        <v>936</v>
      </c>
      <c r="C1109" s="91" t="s">
        <v>131</v>
      </c>
      <c r="D1109" s="91" t="s">
        <v>116</v>
      </c>
      <c r="E1109" s="123" t="s">
        <v>670</v>
      </c>
      <c r="F1109" s="91" t="s">
        <v>51</v>
      </c>
      <c r="G1109" s="74">
        <f>G1111+G1110</f>
        <v>0</v>
      </c>
      <c r="H1109" s="74">
        <f>H1111+H1110</f>
        <v>-170</v>
      </c>
      <c r="I1109" s="102"/>
      <c r="L1109" s="191"/>
      <c r="AL1109" s="100"/>
      <c r="AM1109" s="100"/>
    </row>
    <row r="1110" spans="1:39" ht="47.25" hidden="1" customHeight="1" x14ac:dyDescent="0.3">
      <c r="A1110" s="124" t="s">
        <v>433</v>
      </c>
      <c r="B1110" s="122">
        <v>936</v>
      </c>
      <c r="C1110" s="91" t="s">
        <v>131</v>
      </c>
      <c r="D1110" s="91" t="s">
        <v>116</v>
      </c>
      <c r="E1110" s="123" t="s">
        <v>670</v>
      </c>
      <c r="F1110" s="91" t="s">
        <v>60</v>
      </c>
      <c r="G1110" s="74">
        <v>0</v>
      </c>
      <c r="H1110" s="74">
        <v>0</v>
      </c>
      <c r="I1110" s="102"/>
      <c r="L1110" s="191" t="s">
        <v>619</v>
      </c>
      <c r="AI1110" s="100">
        <v>0</v>
      </c>
      <c r="AL1110" s="100"/>
      <c r="AM1110" s="100"/>
    </row>
    <row r="1111" spans="1:39" ht="46.5" hidden="1" customHeight="1" x14ac:dyDescent="0.3">
      <c r="A1111" s="124" t="s">
        <v>267</v>
      </c>
      <c r="B1111" s="122">
        <v>936</v>
      </c>
      <c r="C1111" s="91" t="s">
        <v>131</v>
      </c>
      <c r="D1111" s="91" t="s">
        <v>116</v>
      </c>
      <c r="E1111" s="123" t="s">
        <v>670</v>
      </c>
      <c r="F1111" s="123" t="s">
        <v>264</v>
      </c>
      <c r="G1111" s="74">
        <f>K1111+L1111</f>
        <v>0</v>
      </c>
      <c r="H1111" s="74">
        <f>L1111+M1111</f>
        <v>-170</v>
      </c>
      <c r="I1111" s="102"/>
      <c r="K1111" s="100">
        <v>170</v>
      </c>
      <c r="L1111" s="191" t="s">
        <v>616</v>
      </c>
      <c r="AL1111" s="100"/>
      <c r="AM1111" s="100"/>
    </row>
    <row r="1112" spans="1:39" ht="125.25" hidden="1" customHeight="1" x14ac:dyDescent="0.3">
      <c r="A1112" s="124" t="s">
        <v>603</v>
      </c>
      <c r="B1112" s="122">
        <v>936</v>
      </c>
      <c r="C1112" s="91" t="s">
        <v>131</v>
      </c>
      <c r="D1112" s="91" t="s">
        <v>116</v>
      </c>
      <c r="E1112" s="123" t="s">
        <v>666</v>
      </c>
      <c r="F1112" s="123" t="s">
        <v>51</v>
      </c>
      <c r="G1112" s="74">
        <f>G1113</f>
        <v>0</v>
      </c>
      <c r="H1112" s="74">
        <f>H1113</f>
        <v>0</v>
      </c>
      <c r="I1112" s="102"/>
      <c r="L1112" s="191"/>
      <c r="AL1112" s="100"/>
      <c r="AM1112" s="100"/>
    </row>
    <row r="1113" spans="1:39" ht="36.75" hidden="1" customHeight="1" x14ac:dyDescent="0.3">
      <c r="A1113" s="124" t="s">
        <v>267</v>
      </c>
      <c r="B1113" s="122">
        <v>936</v>
      </c>
      <c r="C1113" s="91" t="s">
        <v>131</v>
      </c>
      <c r="D1113" s="91" t="s">
        <v>116</v>
      </c>
      <c r="E1113" s="123" t="s">
        <v>666</v>
      </c>
      <c r="F1113" s="123" t="s">
        <v>264</v>
      </c>
      <c r="G1113" s="74">
        <v>0</v>
      </c>
      <c r="H1113" s="74">
        <v>0</v>
      </c>
      <c r="I1113" s="102"/>
      <c r="K1113" s="100">
        <v>261</v>
      </c>
      <c r="L1113" s="191"/>
      <c r="AI1113" s="100">
        <v>0</v>
      </c>
      <c r="AL1113" s="100"/>
      <c r="AM1113" s="100"/>
    </row>
    <row r="1114" spans="1:39" x14ac:dyDescent="0.3">
      <c r="A1114" s="119" t="s">
        <v>167</v>
      </c>
      <c r="B1114" s="118">
        <v>936</v>
      </c>
      <c r="C1114" s="120">
        <v>10</v>
      </c>
      <c r="D1114" s="120" t="s">
        <v>113</v>
      </c>
      <c r="E1114" s="118" t="s">
        <v>50</v>
      </c>
      <c r="F1114" s="114" t="s">
        <v>51</v>
      </c>
      <c r="G1114" s="93">
        <f>G1115+G1120+G1137+G1184</f>
        <v>16063.21</v>
      </c>
      <c r="H1114" s="93">
        <f>H1115+H1120+H1137+H1184</f>
        <v>14616.61</v>
      </c>
      <c r="I1114" s="102"/>
      <c r="AL1114" s="100"/>
      <c r="AM1114" s="100"/>
    </row>
    <row r="1115" spans="1:39" hidden="1" x14ac:dyDescent="0.3">
      <c r="A1115" s="119" t="s">
        <v>318</v>
      </c>
      <c r="B1115" s="118">
        <v>936</v>
      </c>
      <c r="C1115" s="120">
        <v>10</v>
      </c>
      <c r="D1115" s="120" t="s">
        <v>116</v>
      </c>
      <c r="E1115" s="118" t="s">
        <v>50</v>
      </c>
      <c r="F1115" s="114" t="s">
        <v>51</v>
      </c>
      <c r="G1115" s="93">
        <f>G1116</f>
        <v>0</v>
      </c>
      <c r="H1115" s="93">
        <f>H1116</f>
        <v>0</v>
      </c>
      <c r="I1115" s="102"/>
      <c r="AL1115" s="100"/>
      <c r="AM1115" s="100"/>
    </row>
    <row r="1116" spans="1:39" ht="56.25" hidden="1" x14ac:dyDescent="0.3">
      <c r="A1116" s="197" t="s">
        <v>16</v>
      </c>
      <c r="B1116" s="118">
        <v>936</v>
      </c>
      <c r="C1116" s="120" t="s">
        <v>170</v>
      </c>
      <c r="D1116" s="120" t="s">
        <v>116</v>
      </c>
      <c r="E1116" s="195" t="s">
        <v>32</v>
      </c>
      <c r="F1116" s="114" t="s">
        <v>51</v>
      </c>
      <c r="G1116" s="93">
        <f>G1118</f>
        <v>0</v>
      </c>
      <c r="H1116" s="93">
        <f>H1118</f>
        <v>0</v>
      </c>
      <c r="I1116" s="102"/>
      <c r="AL1116" s="100"/>
      <c r="AM1116" s="100"/>
    </row>
    <row r="1117" spans="1:39" ht="27" hidden="1" customHeight="1" x14ac:dyDescent="0.3">
      <c r="A1117" s="167" t="s">
        <v>417</v>
      </c>
      <c r="B1117" s="122">
        <v>936</v>
      </c>
      <c r="C1117" s="105" t="s">
        <v>170</v>
      </c>
      <c r="D1117" s="105" t="s">
        <v>116</v>
      </c>
      <c r="E1117" s="123" t="s">
        <v>45</v>
      </c>
      <c r="F1117" s="91" t="s">
        <v>51</v>
      </c>
      <c r="G1117" s="74">
        <f>G1118</f>
        <v>0</v>
      </c>
      <c r="H1117" s="74">
        <f>H1118</f>
        <v>0</v>
      </c>
      <c r="I1117" s="102"/>
      <c r="AL1117" s="100"/>
      <c r="AM1117" s="100"/>
    </row>
    <row r="1118" spans="1:39" ht="25.5" hidden="1" customHeight="1" x14ac:dyDescent="0.3">
      <c r="A1118" s="124" t="s">
        <v>319</v>
      </c>
      <c r="B1118" s="122">
        <v>936</v>
      </c>
      <c r="C1118" s="105" t="s">
        <v>170</v>
      </c>
      <c r="D1118" s="105" t="s">
        <v>116</v>
      </c>
      <c r="E1118" s="122" t="s">
        <v>320</v>
      </c>
      <c r="F1118" s="91" t="s">
        <v>51</v>
      </c>
      <c r="G1118" s="74">
        <f>G1119</f>
        <v>0</v>
      </c>
      <c r="H1118" s="74">
        <f>H1119</f>
        <v>0</v>
      </c>
      <c r="I1118" s="102"/>
    </row>
    <row r="1119" spans="1:39" ht="31.5" hidden="1" customHeight="1" x14ac:dyDescent="0.3">
      <c r="A1119" s="124" t="s">
        <v>176</v>
      </c>
      <c r="B1119" s="122">
        <v>936</v>
      </c>
      <c r="C1119" s="105" t="s">
        <v>170</v>
      </c>
      <c r="D1119" s="105" t="s">
        <v>116</v>
      </c>
      <c r="E1119" s="122" t="s">
        <v>320</v>
      </c>
      <c r="F1119" s="91" t="s">
        <v>177</v>
      </c>
      <c r="G1119" s="74">
        <v>0</v>
      </c>
      <c r="H1119" s="74">
        <v>0</v>
      </c>
      <c r="I1119" s="102"/>
      <c r="K1119" s="100">
        <v>1000</v>
      </c>
      <c r="S1119" s="100">
        <v>-131</v>
      </c>
      <c r="X1119" s="100">
        <v>-60</v>
      </c>
      <c r="AA1119" s="100">
        <v>333</v>
      </c>
      <c r="AF1119" s="100">
        <v>7.5720000000000001</v>
      </c>
      <c r="AI1119" s="100">
        <v>766.5</v>
      </c>
      <c r="AL1119" s="102">
        <v>0</v>
      </c>
      <c r="AM1119" s="102">
        <v>0</v>
      </c>
    </row>
    <row r="1120" spans="1:39" hidden="1" x14ac:dyDescent="0.3">
      <c r="A1120" s="119" t="s">
        <v>168</v>
      </c>
      <c r="B1120" s="118">
        <v>936</v>
      </c>
      <c r="C1120" s="120">
        <v>10</v>
      </c>
      <c r="D1120" s="120" t="s">
        <v>118</v>
      </c>
      <c r="E1120" s="118" t="s">
        <v>50</v>
      </c>
      <c r="F1120" s="114" t="s">
        <v>51</v>
      </c>
      <c r="G1120" s="93">
        <f>G1121+G1126</f>
        <v>0</v>
      </c>
      <c r="H1120" s="93">
        <f>H1121+H1126</f>
        <v>0</v>
      </c>
      <c r="I1120" s="102"/>
    </row>
    <row r="1121" spans="1:39" ht="56.25" hidden="1" x14ac:dyDescent="0.3">
      <c r="A1121" s="124" t="s">
        <v>38</v>
      </c>
      <c r="B1121" s="122" t="s">
        <v>288</v>
      </c>
      <c r="C1121" s="105" t="s">
        <v>170</v>
      </c>
      <c r="D1121" s="105" t="s">
        <v>118</v>
      </c>
      <c r="E1121" s="122" t="s">
        <v>406</v>
      </c>
      <c r="F1121" s="91" t="s">
        <v>51</v>
      </c>
      <c r="G1121" s="74">
        <f t="shared" ref="G1121:H1124" si="49">G1122</f>
        <v>0</v>
      </c>
      <c r="H1121" s="74">
        <f t="shared" si="49"/>
        <v>0</v>
      </c>
      <c r="I1121" s="102"/>
    </row>
    <row r="1122" spans="1:39" ht="37.5" hidden="1" x14ac:dyDescent="0.3">
      <c r="A1122" s="124" t="s">
        <v>140</v>
      </c>
      <c r="B1122" s="122">
        <v>936</v>
      </c>
      <c r="C1122" s="105" t="s">
        <v>170</v>
      </c>
      <c r="D1122" s="105" t="s">
        <v>118</v>
      </c>
      <c r="E1122" s="122" t="s">
        <v>73</v>
      </c>
      <c r="F1122" s="91" t="s">
        <v>51</v>
      </c>
      <c r="G1122" s="74">
        <f t="shared" si="49"/>
        <v>0</v>
      </c>
      <c r="H1122" s="74">
        <f t="shared" si="49"/>
        <v>0</v>
      </c>
      <c r="I1122" s="102"/>
    </row>
    <row r="1123" spans="1:39" ht="33" hidden="1" customHeight="1" x14ac:dyDescent="0.3">
      <c r="A1123" s="124" t="s">
        <v>63</v>
      </c>
      <c r="B1123" s="122">
        <v>936</v>
      </c>
      <c r="C1123" s="105" t="s">
        <v>170</v>
      </c>
      <c r="D1123" s="105" t="s">
        <v>118</v>
      </c>
      <c r="E1123" s="122" t="s">
        <v>155</v>
      </c>
      <c r="F1123" s="91" t="s">
        <v>51</v>
      </c>
      <c r="G1123" s="74">
        <f t="shared" si="49"/>
        <v>0</v>
      </c>
      <c r="H1123" s="74">
        <f t="shared" si="49"/>
        <v>0</v>
      </c>
      <c r="I1123" s="102"/>
    </row>
    <row r="1124" spans="1:39" ht="33" hidden="1" customHeight="1" x14ac:dyDescent="0.3">
      <c r="A1124" s="124" t="s">
        <v>154</v>
      </c>
      <c r="B1124" s="122">
        <v>936</v>
      </c>
      <c r="C1124" s="105" t="s">
        <v>170</v>
      </c>
      <c r="D1124" s="105" t="s">
        <v>118</v>
      </c>
      <c r="E1124" s="91" t="s">
        <v>156</v>
      </c>
      <c r="F1124" s="91" t="s">
        <v>51</v>
      </c>
      <c r="G1124" s="74">
        <f t="shared" si="49"/>
        <v>0</v>
      </c>
      <c r="H1124" s="74">
        <f t="shared" si="49"/>
        <v>0</v>
      </c>
      <c r="I1124" s="102"/>
    </row>
    <row r="1125" spans="1:39" ht="37.5" hidden="1" x14ac:dyDescent="0.3">
      <c r="A1125" s="124" t="s">
        <v>176</v>
      </c>
      <c r="B1125" s="122">
        <v>936</v>
      </c>
      <c r="C1125" s="105" t="s">
        <v>170</v>
      </c>
      <c r="D1125" s="105" t="s">
        <v>118</v>
      </c>
      <c r="E1125" s="91" t="s">
        <v>156</v>
      </c>
      <c r="F1125" s="91" t="s">
        <v>177</v>
      </c>
      <c r="G1125" s="74">
        <v>0</v>
      </c>
      <c r="H1125" s="74">
        <v>0</v>
      </c>
      <c r="I1125" s="102"/>
      <c r="AI1125" s="100">
        <v>0</v>
      </c>
    </row>
    <row r="1126" spans="1:39" ht="56.25" hidden="1" x14ac:dyDescent="0.3">
      <c r="A1126" s="121" t="s">
        <v>0</v>
      </c>
      <c r="B1126" s="122">
        <v>936</v>
      </c>
      <c r="C1126" s="105">
        <v>10</v>
      </c>
      <c r="D1126" s="105" t="s">
        <v>118</v>
      </c>
      <c r="E1126" s="123" t="s">
        <v>93</v>
      </c>
      <c r="F1126" s="91" t="s">
        <v>51</v>
      </c>
      <c r="G1126" s="74">
        <f>G1127</f>
        <v>0</v>
      </c>
      <c r="H1126" s="74">
        <f>H1127</f>
        <v>0</v>
      </c>
      <c r="I1126" s="102"/>
    </row>
    <row r="1127" spans="1:39" ht="57.75" hidden="1" customHeight="1" x14ac:dyDescent="0.3">
      <c r="A1127" s="121" t="s">
        <v>2</v>
      </c>
      <c r="B1127" s="122">
        <v>936</v>
      </c>
      <c r="C1127" s="105">
        <v>10</v>
      </c>
      <c r="D1127" s="105" t="s">
        <v>118</v>
      </c>
      <c r="E1127" s="123" t="s">
        <v>26</v>
      </c>
      <c r="F1127" s="91" t="s">
        <v>51</v>
      </c>
      <c r="G1127" s="74">
        <f>G1128</f>
        <v>0</v>
      </c>
      <c r="H1127" s="74">
        <f>H1128</f>
        <v>0</v>
      </c>
      <c r="I1127" s="102"/>
    </row>
    <row r="1128" spans="1:39" ht="48.75" hidden="1" customHeight="1" x14ac:dyDescent="0.3">
      <c r="A1128" s="124" t="s">
        <v>169</v>
      </c>
      <c r="B1128" s="122">
        <v>936</v>
      </c>
      <c r="C1128" s="91" t="s">
        <v>170</v>
      </c>
      <c r="D1128" s="105" t="s">
        <v>118</v>
      </c>
      <c r="E1128" s="123" t="s">
        <v>171</v>
      </c>
      <c r="F1128" s="91" t="s">
        <v>51</v>
      </c>
      <c r="G1128" s="74">
        <f>G1132</f>
        <v>0</v>
      </c>
      <c r="H1128" s="74">
        <f>H1132</f>
        <v>0</v>
      </c>
      <c r="I1128" s="102"/>
    </row>
    <row r="1129" spans="1:39" hidden="1" outlineLevel="1" x14ac:dyDescent="0.3">
      <c r="A1129" s="124" t="s">
        <v>63</v>
      </c>
      <c r="B1129" s="122">
        <v>936</v>
      </c>
      <c r="C1129" s="105" t="s">
        <v>170</v>
      </c>
      <c r="D1129" s="105" t="s">
        <v>118</v>
      </c>
      <c r="E1129" s="91" t="s">
        <v>290</v>
      </c>
      <c r="F1129" s="91" t="s">
        <v>51</v>
      </c>
      <c r="G1129" s="144" t="e">
        <f>G1130</f>
        <v>#REF!</v>
      </c>
      <c r="H1129" s="144" t="e">
        <f>H1130</f>
        <v>#REF!</v>
      </c>
      <c r="I1129" s="102"/>
    </row>
    <row r="1130" spans="1:39" hidden="1" outlineLevel="1" x14ac:dyDescent="0.3">
      <c r="A1130" s="124" t="s">
        <v>321</v>
      </c>
      <c r="B1130" s="122">
        <v>936</v>
      </c>
      <c r="C1130" s="105" t="s">
        <v>170</v>
      </c>
      <c r="D1130" s="105" t="s">
        <v>118</v>
      </c>
      <c r="E1130" s="91" t="s">
        <v>322</v>
      </c>
      <c r="F1130" s="91" t="s">
        <v>51</v>
      </c>
      <c r="G1130" s="144" t="e">
        <f>#REF!</f>
        <v>#REF!</v>
      </c>
      <c r="H1130" s="144" t="e">
        <f>#REF!</f>
        <v>#REF!</v>
      </c>
      <c r="I1130" s="102"/>
    </row>
    <row r="1131" spans="1:39" ht="37.5" hidden="1" outlineLevel="1" x14ac:dyDescent="0.3">
      <c r="A1131" s="124" t="s">
        <v>147</v>
      </c>
      <c r="B1131" s="122">
        <v>936</v>
      </c>
      <c r="C1131" s="91" t="s">
        <v>124</v>
      </c>
      <c r="D1131" s="105" t="s">
        <v>124</v>
      </c>
      <c r="E1131" s="91" t="s">
        <v>149</v>
      </c>
      <c r="F1131" s="91" t="s">
        <v>51</v>
      </c>
      <c r="G1131" s="74">
        <f>G1132</f>
        <v>0</v>
      </c>
      <c r="H1131" s="74">
        <f>H1132</f>
        <v>0</v>
      </c>
      <c r="I1131" s="102"/>
    </row>
    <row r="1132" spans="1:39" ht="36.75" hidden="1" customHeight="1" collapsed="1" x14ac:dyDescent="0.3">
      <c r="A1132" s="124" t="s">
        <v>267</v>
      </c>
      <c r="B1132" s="122">
        <v>936</v>
      </c>
      <c r="C1132" s="91" t="s">
        <v>170</v>
      </c>
      <c r="D1132" s="105" t="s">
        <v>118</v>
      </c>
      <c r="E1132" s="123" t="s">
        <v>171</v>
      </c>
      <c r="F1132" s="175">
        <v>600</v>
      </c>
      <c r="G1132" s="74">
        <v>0</v>
      </c>
      <c r="H1132" s="74">
        <v>0</v>
      </c>
      <c r="I1132" s="102"/>
      <c r="J1132" s="100">
        <v>-70.5</v>
      </c>
    </row>
    <row r="1133" spans="1:39" ht="36.75" hidden="1" customHeight="1" x14ac:dyDescent="0.3">
      <c r="A1133" s="131" t="s">
        <v>16</v>
      </c>
      <c r="B1133" s="122">
        <v>936</v>
      </c>
      <c r="C1133" s="105" t="s">
        <v>170</v>
      </c>
      <c r="D1133" s="105" t="s">
        <v>118</v>
      </c>
      <c r="E1133" s="123" t="s">
        <v>32</v>
      </c>
      <c r="F1133" s="91" t="s">
        <v>51</v>
      </c>
      <c r="G1133" s="144">
        <f t="shared" ref="G1133:H1135" si="50">G1134</f>
        <v>0</v>
      </c>
      <c r="H1133" s="144">
        <f t="shared" si="50"/>
        <v>0</v>
      </c>
      <c r="I1133" s="102"/>
    </row>
    <row r="1134" spans="1:39" ht="27.75" hidden="1" customHeight="1" x14ac:dyDescent="0.3">
      <c r="A1134" s="124" t="s">
        <v>417</v>
      </c>
      <c r="B1134" s="122">
        <v>936</v>
      </c>
      <c r="C1134" s="105" t="s">
        <v>170</v>
      </c>
      <c r="D1134" s="105" t="s">
        <v>118</v>
      </c>
      <c r="E1134" s="123" t="s">
        <v>45</v>
      </c>
      <c r="F1134" s="91" t="s">
        <v>51</v>
      </c>
      <c r="G1134" s="144">
        <f t="shared" si="50"/>
        <v>0</v>
      </c>
      <c r="H1134" s="144">
        <f t="shared" si="50"/>
        <v>0</v>
      </c>
      <c r="I1134" s="102"/>
      <c r="AL1134" s="100"/>
      <c r="AM1134" s="100"/>
    </row>
    <row r="1135" spans="1:39" ht="30" hidden="1" customHeight="1" x14ac:dyDescent="0.3">
      <c r="A1135" s="124" t="s">
        <v>186</v>
      </c>
      <c r="B1135" s="122">
        <v>936</v>
      </c>
      <c r="C1135" s="105" t="s">
        <v>170</v>
      </c>
      <c r="D1135" s="105" t="s">
        <v>118</v>
      </c>
      <c r="E1135" s="123" t="s">
        <v>187</v>
      </c>
      <c r="F1135" s="91" t="s">
        <v>51</v>
      </c>
      <c r="G1135" s="144">
        <f t="shared" si="50"/>
        <v>0</v>
      </c>
      <c r="H1135" s="144">
        <f t="shared" si="50"/>
        <v>0</v>
      </c>
      <c r="I1135" s="102"/>
      <c r="AL1135" s="100"/>
      <c r="AM1135" s="100"/>
    </row>
    <row r="1136" spans="1:39" ht="29.25" hidden="1" customHeight="1" x14ac:dyDescent="0.3">
      <c r="A1136" s="124" t="s">
        <v>176</v>
      </c>
      <c r="B1136" s="122">
        <v>936</v>
      </c>
      <c r="C1136" s="105" t="s">
        <v>170</v>
      </c>
      <c r="D1136" s="105" t="s">
        <v>118</v>
      </c>
      <c r="E1136" s="123" t="s">
        <v>187</v>
      </c>
      <c r="F1136" s="91" t="s">
        <v>177</v>
      </c>
      <c r="G1136" s="144">
        <v>0</v>
      </c>
      <c r="H1136" s="144">
        <v>0</v>
      </c>
      <c r="I1136" s="102"/>
      <c r="AL1136" s="100"/>
      <c r="AM1136" s="100"/>
    </row>
    <row r="1137" spans="1:39" x14ac:dyDescent="0.3">
      <c r="A1137" s="119" t="s">
        <v>172</v>
      </c>
      <c r="B1137" s="118">
        <v>936</v>
      </c>
      <c r="C1137" s="120">
        <v>10</v>
      </c>
      <c r="D1137" s="120" t="s">
        <v>122</v>
      </c>
      <c r="E1137" s="118" t="s">
        <v>50</v>
      </c>
      <c r="F1137" s="114" t="s">
        <v>51</v>
      </c>
      <c r="G1137" s="93">
        <f>G1138+G1147+G1156+G1173</f>
        <v>16063.21</v>
      </c>
      <c r="H1137" s="93">
        <f>H1138+H1147+H1156+H1173</f>
        <v>14616.61</v>
      </c>
      <c r="I1137" s="102"/>
      <c r="AL1137" s="100"/>
      <c r="AM1137" s="100"/>
    </row>
    <row r="1138" spans="1:39" ht="44.25" hidden="1" customHeight="1" x14ac:dyDescent="0.3">
      <c r="A1138" s="124" t="s">
        <v>38</v>
      </c>
      <c r="B1138" s="91" t="s">
        <v>288</v>
      </c>
      <c r="C1138" s="105">
        <v>10</v>
      </c>
      <c r="D1138" s="105" t="s">
        <v>122</v>
      </c>
      <c r="E1138" s="123" t="s">
        <v>406</v>
      </c>
      <c r="F1138" s="91" t="s">
        <v>51</v>
      </c>
      <c r="G1138" s="142">
        <f>G1139</f>
        <v>0</v>
      </c>
      <c r="H1138" s="142">
        <f>H1139</f>
        <v>0</v>
      </c>
      <c r="I1138" s="102"/>
      <c r="AL1138" s="100"/>
      <c r="AM1138" s="100"/>
    </row>
    <row r="1139" spans="1:39" ht="56.25" hidden="1" x14ac:dyDescent="0.3">
      <c r="A1139" s="121" t="s">
        <v>139</v>
      </c>
      <c r="B1139" s="91" t="s">
        <v>288</v>
      </c>
      <c r="C1139" s="105">
        <v>10</v>
      </c>
      <c r="D1139" s="105" t="s">
        <v>122</v>
      </c>
      <c r="E1139" s="123" t="s">
        <v>52</v>
      </c>
      <c r="F1139" s="91" t="s">
        <v>51</v>
      </c>
      <c r="G1139" s="142">
        <f>G1140+G1143</f>
        <v>0</v>
      </c>
      <c r="H1139" s="142">
        <f>H1140+H1143</f>
        <v>0</v>
      </c>
      <c r="I1139" s="102"/>
      <c r="AI1139" s="100">
        <v>0</v>
      </c>
      <c r="AL1139" s="100"/>
      <c r="AM1139" s="100"/>
    </row>
    <row r="1140" spans="1:39" ht="38.25" hidden="1" customHeight="1" x14ac:dyDescent="0.3">
      <c r="A1140" s="124" t="s">
        <v>53</v>
      </c>
      <c r="B1140" s="91" t="s">
        <v>288</v>
      </c>
      <c r="C1140" s="105">
        <v>10</v>
      </c>
      <c r="D1140" s="105" t="s">
        <v>122</v>
      </c>
      <c r="E1140" s="91" t="s">
        <v>54</v>
      </c>
      <c r="F1140" s="91" t="s">
        <v>51</v>
      </c>
      <c r="G1140" s="74">
        <f>G1141+G1146</f>
        <v>0</v>
      </c>
      <c r="H1140" s="74">
        <f>H1141+H1146</f>
        <v>0</v>
      </c>
      <c r="I1140" s="102"/>
      <c r="AL1140" s="100"/>
      <c r="AM1140" s="100"/>
    </row>
    <row r="1141" spans="1:39" hidden="1" x14ac:dyDescent="0.3">
      <c r="A1141" s="124" t="s">
        <v>75</v>
      </c>
      <c r="B1141" s="91" t="s">
        <v>288</v>
      </c>
      <c r="C1141" s="105">
        <v>10</v>
      </c>
      <c r="D1141" s="105" t="s">
        <v>122</v>
      </c>
      <c r="E1141" s="91" t="s">
        <v>43</v>
      </c>
      <c r="F1141" s="91" t="s">
        <v>51</v>
      </c>
      <c r="G1141" s="74">
        <f>G1142</f>
        <v>0</v>
      </c>
      <c r="H1141" s="74">
        <f>H1142</f>
        <v>0</v>
      </c>
      <c r="I1141" s="102"/>
      <c r="AL1141" s="100"/>
      <c r="AM1141" s="100"/>
    </row>
    <row r="1142" spans="1:39" ht="42" hidden="1" customHeight="1" x14ac:dyDescent="0.3">
      <c r="A1142" s="124" t="s">
        <v>267</v>
      </c>
      <c r="B1142" s="91" t="s">
        <v>288</v>
      </c>
      <c r="C1142" s="105">
        <v>10</v>
      </c>
      <c r="D1142" s="105" t="s">
        <v>122</v>
      </c>
      <c r="E1142" s="91" t="s">
        <v>43</v>
      </c>
      <c r="F1142" s="91" t="s">
        <v>264</v>
      </c>
      <c r="G1142" s="74">
        <v>0</v>
      </c>
      <c r="H1142" s="74">
        <v>0</v>
      </c>
      <c r="I1142" s="102"/>
      <c r="J1142" s="100">
        <v>-1.4</v>
      </c>
      <c r="AL1142" s="100"/>
      <c r="AM1142" s="100"/>
    </row>
    <row r="1143" spans="1:39" ht="42" hidden="1" customHeight="1" x14ac:dyDescent="0.3">
      <c r="A1143" s="124" t="s">
        <v>69</v>
      </c>
      <c r="B1143" s="122">
        <v>936</v>
      </c>
      <c r="C1143" s="105">
        <v>10</v>
      </c>
      <c r="D1143" s="105" t="s">
        <v>122</v>
      </c>
      <c r="E1143" s="91" t="s">
        <v>70</v>
      </c>
      <c r="F1143" s="91" t="s">
        <v>51</v>
      </c>
      <c r="G1143" s="74">
        <f>G1144</f>
        <v>0</v>
      </c>
      <c r="H1143" s="74">
        <f>H1144</f>
        <v>0</v>
      </c>
      <c r="I1143" s="102"/>
      <c r="AL1143" s="100"/>
      <c r="AM1143" s="100"/>
    </row>
    <row r="1144" spans="1:39" ht="96" hidden="1" customHeight="1" x14ac:dyDescent="0.3">
      <c r="A1144" s="124" t="s">
        <v>77</v>
      </c>
      <c r="B1144" s="122">
        <v>936</v>
      </c>
      <c r="C1144" s="105">
        <v>10</v>
      </c>
      <c r="D1144" s="105" t="s">
        <v>122</v>
      </c>
      <c r="E1144" s="91" t="s">
        <v>41</v>
      </c>
      <c r="F1144" s="91" t="s">
        <v>51</v>
      </c>
      <c r="G1144" s="74">
        <f>G1145</f>
        <v>0</v>
      </c>
      <c r="H1144" s="74">
        <f>H1145</f>
        <v>0</v>
      </c>
      <c r="I1144" s="102"/>
      <c r="AL1144" s="100"/>
      <c r="AM1144" s="100"/>
    </row>
    <row r="1145" spans="1:39" ht="42" hidden="1" customHeight="1" x14ac:dyDescent="0.3">
      <c r="A1145" s="124" t="s">
        <v>267</v>
      </c>
      <c r="B1145" s="122">
        <v>936</v>
      </c>
      <c r="C1145" s="105">
        <v>10</v>
      </c>
      <c r="D1145" s="105" t="s">
        <v>122</v>
      </c>
      <c r="E1145" s="91" t="s">
        <v>41</v>
      </c>
      <c r="F1145" s="91" t="s">
        <v>264</v>
      </c>
      <c r="G1145" s="74">
        <v>0</v>
      </c>
      <c r="H1145" s="74">
        <v>0</v>
      </c>
      <c r="I1145" s="102"/>
      <c r="AL1145" s="100"/>
      <c r="AM1145" s="100"/>
    </row>
    <row r="1146" spans="1:39" ht="30" hidden="1" customHeight="1" x14ac:dyDescent="0.3">
      <c r="A1146" s="124" t="s">
        <v>570</v>
      </c>
      <c r="B1146" s="91" t="s">
        <v>288</v>
      </c>
      <c r="C1146" s="91" t="s">
        <v>170</v>
      </c>
      <c r="D1146" s="91" t="s">
        <v>122</v>
      </c>
      <c r="E1146" s="91" t="s">
        <v>572</v>
      </c>
      <c r="F1146" s="91" t="s">
        <v>264</v>
      </c>
      <c r="G1146" s="74">
        <v>0</v>
      </c>
      <c r="H1146" s="74">
        <v>0</v>
      </c>
      <c r="I1146" s="102"/>
      <c r="J1146" s="100">
        <v>1.4</v>
      </c>
      <c r="AI1146" s="100">
        <v>0</v>
      </c>
      <c r="AL1146" s="100"/>
      <c r="AM1146" s="100"/>
    </row>
    <row r="1147" spans="1:39" ht="48.75" hidden="1" customHeight="1" x14ac:dyDescent="0.3">
      <c r="A1147" s="121" t="s">
        <v>159</v>
      </c>
      <c r="B1147" s="122">
        <v>936</v>
      </c>
      <c r="C1147" s="105">
        <v>10</v>
      </c>
      <c r="D1147" s="105" t="s">
        <v>122</v>
      </c>
      <c r="E1147" s="123" t="s">
        <v>86</v>
      </c>
      <c r="F1147" s="91" t="s">
        <v>51</v>
      </c>
      <c r="G1147" s="74">
        <f>G1148+G1152</f>
        <v>0</v>
      </c>
      <c r="H1147" s="74">
        <f>H1148+H1152</f>
        <v>0</v>
      </c>
      <c r="I1147" s="102"/>
      <c r="AL1147" s="100"/>
      <c r="AM1147" s="100"/>
    </row>
    <row r="1148" spans="1:39" ht="56.25" hidden="1" x14ac:dyDescent="0.3">
      <c r="A1148" s="121" t="s">
        <v>143</v>
      </c>
      <c r="B1148" s="122">
        <v>936</v>
      </c>
      <c r="C1148" s="105">
        <v>10</v>
      </c>
      <c r="D1148" s="105" t="s">
        <v>122</v>
      </c>
      <c r="E1148" s="123" t="s">
        <v>87</v>
      </c>
      <c r="F1148" s="91" t="s">
        <v>51</v>
      </c>
      <c r="G1148" s="74">
        <f t="shared" ref="G1148:H1150" si="51">G1149</f>
        <v>0</v>
      </c>
      <c r="H1148" s="74">
        <f t="shared" si="51"/>
        <v>0</v>
      </c>
      <c r="I1148" s="102"/>
      <c r="AL1148" s="100"/>
      <c r="AM1148" s="100"/>
    </row>
    <row r="1149" spans="1:39" ht="37.5" hidden="1" x14ac:dyDescent="0.3">
      <c r="A1149" s="124" t="s">
        <v>53</v>
      </c>
      <c r="B1149" s="122">
        <v>936</v>
      </c>
      <c r="C1149" s="105">
        <v>10</v>
      </c>
      <c r="D1149" s="105" t="s">
        <v>122</v>
      </c>
      <c r="E1149" s="91" t="s">
        <v>308</v>
      </c>
      <c r="F1149" s="91" t="s">
        <v>51</v>
      </c>
      <c r="G1149" s="74">
        <f t="shared" si="51"/>
        <v>0</v>
      </c>
      <c r="H1149" s="74">
        <f t="shared" si="51"/>
        <v>0</v>
      </c>
      <c r="I1149" s="102"/>
      <c r="AL1149" s="100"/>
      <c r="AM1149" s="100"/>
    </row>
    <row r="1150" spans="1:39" hidden="1" x14ac:dyDescent="0.3">
      <c r="A1150" s="124" t="s">
        <v>307</v>
      </c>
      <c r="B1150" s="122">
        <v>936</v>
      </c>
      <c r="C1150" s="105">
        <v>10</v>
      </c>
      <c r="D1150" s="105" t="s">
        <v>122</v>
      </c>
      <c r="E1150" s="91" t="s">
        <v>309</v>
      </c>
      <c r="F1150" s="91" t="s">
        <v>51</v>
      </c>
      <c r="G1150" s="74">
        <f t="shared" si="51"/>
        <v>0</v>
      </c>
      <c r="H1150" s="74">
        <f t="shared" si="51"/>
        <v>0</v>
      </c>
      <c r="I1150" s="102"/>
    </row>
    <row r="1151" spans="1:39" ht="41.25" hidden="1" customHeight="1" x14ac:dyDescent="0.3">
      <c r="A1151" s="124" t="s">
        <v>267</v>
      </c>
      <c r="B1151" s="122">
        <v>936</v>
      </c>
      <c r="C1151" s="105">
        <v>10</v>
      </c>
      <c r="D1151" s="105" t="s">
        <v>122</v>
      </c>
      <c r="E1151" s="91" t="s">
        <v>309</v>
      </c>
      <c r="F1151" s="91" t="s">
        <v>264</v>
      </c>
      <c r="G1151" s="74">
        <v>0</v>
      </c>
      <c r="H1151" s="74">
        <v>0</v>
      </c>
      <c r="I1151" s="102"/>
      <c r="AI1151" s="100">
        <v>0.9</v>
      </c>
      <c r="AL1151" s="102">
        <v>0</v>
      </c>
      <c r="AM1151" s="102">
        <v>0</v>
      </c>
    </row>
    <row r="1152" spans="1:39" ht="41.25" hidden="1" customHeight="1" outlineLevel="1" x14ac:dyDescent="0.3">
      <c r="A1152" s="131" t="s">
        <v>216</v>
      </c>
      <c r="B1152" s="122">
        <v>936</v>
      </c>
      <c r="C1152" s="105">
        <v>10</v>
      </c>
      <c r="D1152" s="105" t="s">
        <v>122</v>
      </c>
      <c r="E1152" s="91" t="s">
        <v>90</v>
      </c>
      <c r="F1152" s="91" t="s">
        <v>51</v>
      </c>
      <c r="G1152" s="74">
        <f t="shared" ref="G1152:H1154" si="52">G1153</f>
        <v>0</v>
      </c>
      <c r="H1152" s="74">
        <f t="shared" si="52"/>
        <v>0</v>
      </c>
      <c r="I1152" s="102"/>
    </row>
    <row r="1153" spans="1:56" ht="41.25" hidden="1" customHeight="1" outlineLevel="1" x14ac:dyDescent="0.3">
      <c r="A1153" s="124" t="s">
        <v>53</v>
      </c>
      <c r="B1153" s="122">
        <v>936</v>
      </c>
      <c r="C1153" s="105">
        <v>10</v>
      </c>
      <c r="D1153" s="105" t="s">
        <v>122</v>
      </c>
      <c r="E1153" s="91" t="s">
        <v>218</v>
      </c>
      <c r="F1153" s="91" t="s">
        <v>51</v>
      </c>
      <c r="G1153" s="74">
        <f t="shared" si="52"/>
        <v>0</v>
      </c>
      <c r="H1153" s="74">
        <f t="shared" si="52"/>
        <v>0</v>
      </c>
      <c r="I1153" s="102"/>
    </row>
    <row r="1154" spans="1:56" ht="25.5" hidden="1" customHeight="1" outlineLevel="1" x14ac:dyDescent="0.3">
      <c r="A1154" s="124" t="s">
        <v>217</v>
      </c>
      <c r="B1154" s="122">
        <v>936</v>
      </c>
      <c r="C1154" s="105">
        <v>10</v>
      </c>
      <c r="D1154" s="105" t="s">
        <v>122</v>
      </c>
      <c r="E1154" s="91" t="s">
        <v>219</v>
      </c>
      <c r="F1154" s="91" t="s">
        <v>51</v>
      </c>
      <c r="G1154" s="74">
        <f t="shared" si="52"/>
        <v>0</v>
      </c>
      <c r="H1154" s="74">
        <f t="shared" si="52"/>
        <v>0</v>
      </c>
      <c r="I1154" s="102"/>
    </row>
    <row r="1155" spans="1:56" ht="98.25" hidden="1" customHeight="1" outlineLevel="1" x14ac:dyDescent="0.3">
      <c r="A1155" s="124" t="s">
        <v>57</v>
      </c>
      <c r="B1155" s="122">
        <v>936</v>
      </c>
      <c r="C1155" s="105">
        <v>10</v>
      </c>
      <c r="D1155" s="105" t="s">
        <v>122</v>
      </c>
      <c r="E1155" s="91" t="s">
        <v>219</v>
      </c>
      <c r="F1155" s="91" t="s">
        <v>58</v>
      </c>
      <c r="G1155" s="74">
        <f>0.7-0.7</f>
        <v>0</v>
      </c>
      <c r="H1155" s="74">
        <f>0.7-0.7</f>
        <v>0</v>
      </c>
      <c r="I1155" s="102"/>
    </row>
    <row r="1156" spans="1:56" ht="56.25" collapsed="1" x14ac:dyDescent="0.3">
      <c r="A1156" s="121" t="s">
        <v>0</v>
      </c>
      <c r="B1156" s="122">
        <v>936</v>
      </c>
      <c r="C1156" s="105" t="s">
        <v>170</v>
      </c>
      <c r="D1156" s="105" t="s">
        <v>122</v>
      </c>
      <c r="E1156" s="123" t="s">
        <v>93</v>
      </c>
      <c r="F1156" s="91" t="s">
        <v>51</v>
      </c>
      <c r="G1156" s="74">
        <f>G1157+G1192</f>
        <v>16063.21</v>
      </c>
      <c r="H1156" s="74">
        <f>H1157+H1192</f>
        <v>14616.61</v>
      </c>
      <c r="I1156" s="102"/>
    </row>
    <row r="1157" spans="1:56" ht="63.75" customHeight="1" x14ac:dyDescent="0.3">
      <c r="A1157" s="121" t="s">
        <v>3</v>
      </c>
      <c r="B1157" s="122">
        <v>936</v>
      </c>
      <c r="C1157" s="105" t="s">
        <v>170</v>
      </c>
      <c r="D1157" s="105" t="s">
        <v>122</v>
      </c>
      <c r="E1157" s="123" t="s">
        <v>95</v>
      </c>
      <c r="F1157" s="91" t="s">
        <v>51</v>
      </c>
      <c r="G1157" s="74">
        <f>G1158+G1164+G1167</f>
        <v>13021</v>
      </c>
      <c r="H1157" s="74">
        <f>H1158+H1164+H1167+H1190</f>
        <v>11574.4</v>
      </c>
      <c r="I1157" s="102"/>
    </row>
    <row r="1158" spans="1:56" ht="78" customHeight="1" x14ac:dyDescent="0.3">
      <c r="A1158" s="124" t="s">
        <v>174</v>
      </c>
      <c r="B1158" s="122">
        <v>936</v>
      </c>
      <c r="C1158" s="105" t="s">
        <v>170</v>
      </c>
      <c r="D1158" s="105" t="s">
        <v>122</v>
      </c>
      <c r="E1158" s="10" t="s">
        <v>178</v>
      </c>
      <c r="F1158" s="10" t="s">
        <v>51</v>
      </c>
      <c r="G1158" s="74">
        <f>G1159</f>
        <v>64.8</v>
      </c>
      <c r="H1158" s="74">
        <f>H1159</f>
        <v>57.6</v>
      </c>
      <c r="I1158" s="102"/>
    </row>
    <row r="1159" spans="1:56" ht="179.25" customHeight="1" x14ac:dyDescent="0.3">
      <c r="A1159" s="124" t="s">
        <v>323</v>
      </c>
      <c r="B1159" s="122">
        <v>936</v>
      </c>
      <c r="C1159" s="105" t="s">
        <v>170</v>
      </c>
      <c r="D1159" s="105" t="s">
        <v>122</v>
      </c>
      <c r="E1159" s="10" t="s">
        <v>884</v>
      </c>
      <c r="F1159" s="10" t="s">
        <v>51</v>
      </c>
      <c r="G1159" s="74">
        <f>G1160+G1162</f>
        <v>64.8</v>
      </c>
      <c r="H1159" s="74">
        <f>H1160+H1162</f>
        <v>57.6</v>
      </c>
      <c r="I1159" s="102"/>
    </row>
    <row r="1160" spans="1:56" ht="51.75" hidden="1" customHeight="1" x14ac:dyDescent="0.3">
      <c r="A1160" s="198" t="s">
        <v>324</v>
      </c>
      <c r="B1160" s="122">
        <v>936</v>
      </c>
      <c r="C1160" s="105" t="s">
        <v>170</v>
      </c>
      <c r="D1160" s="105" t="s">
        <v>122</v>
      </c>
      <c r="E1160" s="10" t="s">
        <v>844</v>
      </c>
      <c r="F1160" s="10" t="s">
        <v>51</v>
      </c>
      <c r="G1160" s="74">
        <f>G1161</f>
        <v>0</v>
      </c>
      <c r="H1160" s="74">
        <f>H1161</f>
        <v>0</v>
      </c>
      <c r="I1160" s="102"/>
    </row>
    <row r="1161" spans="1:56" ht="37.5" hidden="1" x14ac:dyDescent="0.3">
      <c r="A1161" s="124" t="s">
        <v>433</v>
      </c>
      <c r="B1161" s="122">
        <v>936</v>
      </c>
      <c r="C1161" s="105" t="s">
        <v>170</v>
      </c>
      <c r="D1161" s="105" t="s">
        <v>122</v>
      </c>
      <c r="E1161" s="10" t="s">
        <v>844</v>
      </c>
      <c r="F1161" s="10" t="s">
        <v>60</v>
      </c>
      <c r="G1161" s="74">
        <v>0</v>
      </c>
      <c r="H1161" s="74">
        <v>0</v>
      </c>
      <c r="I1161" s="102"/>
      <c r="AW1161" s="219">
        <v>100</v>
      </c>
      <c r="AY1161" s="100">
        <v>300</v>
      </c>
    </row>
    <row r="1162" spans="1:56" x14ac:dyDescent="0.3">
      <c r="A1162" s="198" t="s">
        <v>325</v>
      </c>
      <c r="B1162" s="122">
        <v>936</v>
      </c>
      <c r="C1162" s="105" t="s">
        <v>170</v>
      </c>
      <c r="D1162" s="105" t="s">
        <v>122</v>
      </c>
      <c r="E1162" s="10" t="s">
        <v>884</v>
      </c>
      <c r="F1162" s="10" t="s">
        <v>51</v>
      </c>
      <c r="G1162" s="74">
        <f>G1163</f>
        <v>64.8</v>
      </c>
      <c r="H1162" s="74">
        <f>H1163</f>
        <v>57.6</v>
      </c>
      <c r="I1162" s="102"/>
    </row>
    <row r="1163" spans="1:56" ht="37.5" x14ac:dyDescent="0.3">
      <c r="A1163" s="124" t="s">
        <v>433</v>
      </c>
      <c r="B1163" s="122">
        <v>936</v>
      </c>
      <c r="C1163" s="105" t="s">
        <v>170</v>
      </c>
      <c r="D1163" s="105" t="s">
        <v>122</v>
      </c>
      <c r="E1163" s="10" t="s">
        <v>884</v>
      </c>
      <c r="F1163" s="10" t="s">
        <v>60</v>
      </c>
      <c r="G1163" s="74">
        <v>64.8</v>
      </c>
      <c r="H1163" s="74">
        <v>57.6</v>
      </c>
      <c r="I1163" s="102"/>
      <c r="AI1163" s="100">
        <v>51</v>
      </c>
      <c r="AL1163" s="102">
        <v>47</v>
      </c>
      <c r="AM1163" s="102">
        <v>51</v>
      </c>
      <c r="AS1163" s="101">
        <v>151.5</v>
      </c>
      <c r="AU1163" s="101">
        <v>325.7</v>
      </c>
      <c r="AW1163" s="219">
        <v>-100</v>
      </c>
      <c r="AY1163" s="100">
        <v>-300</v>
      </c>
      <c r="BC1163" s="236">
        <v>30</v>
      </c>
      <c r="BD1163" s="237">
        <v>47.2</v>
      </c>
    </row>
    <row r="1164" spans="1:56" ht="117.75" hidden="1" customHeight="1" x14ac:dyDescent="0.3">
      <c r="A1164" s="198" t="s">
        <v>676</v>
      </c>
      <c r="B1164" s="122">
        <v>936</v>
      </c>
      <c r="C1164" s="105" t="s">
        <v>170</v>
      </c>
      <c r="D1164" s="105" t="s">
        <v>122</v>
      </c>
      <c r="E1164" s="123" t="s">
        <v>327</v>
      </c>
      <c r="F1164" s="123" t="s">
        <v>51</v>
      </c>
      <c r="G1164" s="74">
        <f>G1165</f>
        <v>0</v>
      </c>
      <c r="H1164" s="74">
        <f>H1165</f>
        <v>0</v>
      </c>
      <c r="I1164" s="102"/>
    </row>
    <row r="1165" spans="1:56" hidden="1" x14ac:dyDescent="0.3">
      <c r="A1165" s="198" t="s">
        <v>326</v>
      </c>
      <c r="B1165" s="122">
        <v>936</v>
      </c>
      <c r="C1165" s="105" t="s">
        <v>170</v>
      </c>
      <c r="D1165" s="105" t="s">
        <v>122</v>
      </c>
      <c r="E1165" s="123" t="s">
        <v>327</v>
      </c>
      <c r="F1165" s="123" t="s">
        <v>51</v>
      </c>
      <c r="G1165" s="74">
        <f>G1166</f>
        <v>0</v>
      </c>
      <c r="H1165" s="74">
        <f>H1166</f>
        <v>0</v>
      </c>
      <c r="I1165" s="102"/>
    </row>
    <row r="1166" spans="1:56" ht="56.25" hidden="1" x14ac:dyDescent="0.3">
      <c r="A1166" s="124" t="s">
        <v>293</v>
      </c>
      <c r="B1166" s="122">
        <v>936</v>
      </c>
      <c r="C1166" s="105" t="s">
        <v>170</v>
      </c>
      <c r="D1166" s="105" t="s">
        <v>122</v>
      </c>
      <c r="E1166" s="123" t="s">
        <v>327</v>
      </c>
      <c r="F1166" s="91" t="s">
        <v>294</v>
      </c>
      <c r="G1166" s="74">
        <v>0</v>
      </c>
      <c r="H1166" s="74">
        <v>0</v>
      </c>
      <c r="I1166" s="102"/>
      <c r="R1166" s="100">
        <v>-3919.5</v>
      </c>
      <c r="AI1166" s="100">
        <v>10190.700000000001</v>
      </c>
      <c r="AL1166" s="102">
        <v>9406.7999999999993</v>
      </c>
      <c r="AM1166" s="102">
        <v>10190.700000000001</v>
      </c>
      <c r="AS1166" s="101">
        <v>10296</v>
      </c>
      <c r="AU1166" s="101">
        <v>5148</v>
      </c>
      <c r="AY1166" s="100">
        <v>-2547.4</v>
      </c>
      <c r="AZ1166" s="100">
        <v>0.1</v>
      </c>
    </row>
    <row r="1167" spans="1:56" ht="140.25" customHeight="1" x14ac:dyDescent="0.3">
      <c r="A1167" s="198" t="s">
        <v>676</v>
      </c>
      <c r="B1167" s="122">
        <v>936</v>
      </c>
      <c r="C1167" s="105" t="s">
        <v>170</v>
      </c>
      <c r="D1167" s="105" t="s">
        <v>122</v>
      </c>
      <c r="E1167" s="21" t="s">
        <v>885</v>
      </c>
      <c r="F1167" s="21" t="s">
        <v>51</v>
      </c>
      <c r="G1167" s="74">
        <f>G1168</f>
        <v>12956.2</v>
      </c>
      <c r="H1167" s="74">
        <f>H1168</f>
        <v>5909.0999999999995</v>
      </c>
      <c r="I1167" s="102"/>
    </row>
    <row r="1168" spans="1:56" ht="56.25" hidden="1" x14ac:dyDescent="0.3">
      <c r="A1168" s="124" t="s">
        <v>293</v>
      </c>
      <c r="B1168" s="122">
        <v>936</v>
      </c>
      <c r="C1168" s="105" t="s">
        <v>170</v>
      </c>
      <c r="D1168" s="105" t="s">
        <v>122</v>
      </c>
      <c r="E1168" s="21" t="s">
        <v>843</v>
      </c>
      <c r="F1168" s="21" t="s">
        <v>51</v>
      </c>
      <c r="G1168" s="74">
        <f>G1169</f>
        <v>12956.2</v>
      </c>
      <c r="H1168" s="74">
        <f>H1169</f>
        <v>5909.0999999999995</v>
      </c>
      <c r="I1168" s="102"/>
      <c r="R1168" s="100">
        <v>3919.5</v>
      </c>
      <c r="AI1168" s="100">
        <v>0</v>
      </c>
      <c r="AY1168" s="100">
        <v>2547.4</v>
      </c>
      <c r="BC1168" s="236">
        <v>6306</v>
      </c>
      <c r="BD1168" s="237">
        <v>9538</v>
      </c>
    </row>
    <row r="1169" spans="1:39" ht="66" customHeight="1" x14ac:dyDescent="0.3">
      <c r="A1169" s="124" t="s">
        <v>293</v>
      </c>
      <c r="B1169" s="122">
        <v>936</v>
      </c>
      <c r="C1169" s="105" t="s">
        <v>170</v>
      </c>
      <c r="D1169" s="105" t="s">
        <v>122</v>
      </c>
      <c r="E1169" s="21" t="s">
        <v>885</v>
      </c>
      <c r="F1169" s="10" t="s">
        <v>294</v>
      </c>
      <c r="G1169" s="74">
        <v>12956.2</v>
      </c>
      <c r="H1169" s="74">
        <f>11516.8-5607.7</f>
        <v>5909.0999999999995</v>
      </c>
      <c r="I1169" s="102"/>
    </row>
    <row r="1170" spans="1:39" ht="37.5" hidden="1" x14ac:dyDescent="0.3">
      <c r="A1170" s="187" t="s">
        <v>69</v>
      </c>
      <c r="B1170" s="122">
        <v>936</v>
      </c>
      <c r="C1170" s="105" t="s">
        <v>170</v>
      </c>
      <c r="D1170" s="105" t="s">
        <v>122</v>
      </c>
      <c r="E1170" s="176" t="s">
        <v>690</v>
      </c>
      <c r="F1170" s="91" t="s">
        <v>51</v>
      </c>
      <c r="G1170" s="74">
        <f t="shared" ref="G1170:H1171" si="53">G1171</f>
        <v>0</v>
      </c>
      <c r="H1170" s="74">
        <f t="shared" si="53"/>
        <v>0</v>
      </c>
      <c r="I1170" s="102"/>
    </row>
    <row r="1171" spans="1:39" ht="93.75" hidden="1" x14ac:dyDescent="0.3">
      <c r="A1171" s="187" t="s">
        <v>691</v>
      </c>
      <c r="B1171" s="122">
        <v>936</v>
      </c>
      <c r="C1171" s="105" t="s">
        <v>170</v>
      </c>
      <c r="D1171" s="105" t="s">
        <v>122</v>
      </c>
      <c r="E1171" s="176" t="s">
        <v>692</v>
      </c>
      <c r="F1171" s="91" t="s">
        <v>51</v>
      </c>
      <c r="G1171" s="74">
        <f t="shared" si="53"/>
        <v>0</v>
      </c>
      <c r="H1171" s="74">
        <f t="shared" si="53"/>
        <v>0</v>
      </c>
      <c r="I1171" s="102"/>
    </row>
    <row r="1172" spans="1:39" ht="37.5" hidden="1" x14ac:dyDescent="0.3">
      <c r="A1172" s="124" t="s">
        <v>176</v>
      </c>
      <c r="B1172" s="122">
        <v>936</v>
      </c>
      <c r="C1172" s="105" t="s">
        <v>170</v>
      </c>
      <c r="D1172" s="105" t="s">
        <v>122</v>
      </c>
      <c r="E1172" s="176" t="s">
        <v>692</v>
      </c>
      <c r="F1172" s="91" t="s">
        <v>177</v>
      </c>
      <c r="G1172" s="74">
        <v>0</v>
      </c>
      <c r="H1172" s="74">
        <v>0</v>
      </c>
      <c r="I1172" s="102"/>
      <c r="AI1172" s="100">
        <v>0</v>
      </c>
    </row>
    <row r="1173" spans="1:39" ht="56.25" hidden="1" x14ac:dyDescent="0.3">
      <c r="A1173" s="167" t="s">
        <v>16</v>
      </c>
      <c r="B1173" s="122">
        <v>936</v>
      </c>
      <c r="C1173" s="105" t="s">
        <v>170</v>
      </c>
      <c r="D1173" s="105" t="s">
        <v>122</v>
      </c>
      <c r="E1173" s="91" t="s">
        <v>32</v>
      </c>
      <c r="F1173" s="91" t="s">
        <v>51</v>
      </c>
      <c r="G1173" s="74">
        <f>G1174+G1180</f>
        <v>0</v>
      </c>
      <c r="H1173" s="74">
        <f>H1174+H1180</f>
        <v>0</v>
      </c>
      <c r="I1173" s="102"/>
    </row>
    <row r="1174" spans="1:39" ht="48" hidden="1" customHeight="1" x14ac:dyDescent="0.3">
      <c r="A1174" s="125" t="s">
        <v>18</v>
      </c>
      <c r="B1174" s="122">
        <v>936</v>
      </c>
      <c r="C1174" s="105" t="s">
        <v>170</v>
      </c>
      <c r="D1174" s="105" t="s">
        <v>122</v>
      </c>
      <c r="E1174" s="91" t="s">
        <v>34</v>
      </c>
      <c r="F1174" s="91" t="s">
        <v>51</v>
      </c>
      <c r="G1174" s="74">
        <f>G1175+G1178</f>
        <v>0</v>
      </c>
      <c r="H1174" s="74">
        <f>H1175+H1178</f>
        <v>0</v>
      </c>
      <c r="I1174" s="102"/>
    </row>
    <row r="1175" spans="1:39" ht="75" hidden="1" x14ac:dyDescent="0.3">
      <c r="A1175" s="124" t="s">
        <v>104</v>
      </c>
      <c r="B1175" s="122">
        <v>936</v>
      </c>
      <c r="C1175" s="105" t="s">
        <v>170</v>
      </c>
      <c r="D1175" s="105" t="s">
        <v>122</v>
      </c>
      <c r="E1175" s="91" t="s">
        <v>36</v>
      </c>
      <c r="F1175" s="91" t="s">
        <v>51</v>
      </c>
      <c r="G1175" s="74">
        <f>G1176</f>
        <v>0</v>
      </c>
      <c r="H1175" s="74">
        <f>H1176</f>
        <v>0</v>
      </c>
      <c r="I1175" s="102"/>
    </row>
    <row r="1176" spans="1:39" hidden="1" x14ac:dyDescent="0.3">
      <c r="A1176" s="124" t="s">
        <v>105</v>
      </c>
      <c r="B1176" s="122">
        <v>936</v>
      </c>
      <c r="C1176" s="105" t="s">
        <v>170</v>
      </c>
      <c r="D1176" s="105" t="s">
        <v>122</v>
      </c>
      <c r="E1176" s="91" t="s">
        <v>37</v>
      </c>
      <c r="F1176" s="91" t="s">
        <v>51</v>
      </c>
      <c r="G1176" s="74">
        <f>G1177</f>
        <v>0</v>
      </c>
      <c r="H1176" s="74">
        <f>H1177</f>
        <v>0</v>
      </c>
      <c r="I1176" s="102"/>
    </row>
    <row r="1177" spans="1:39" ht="93.75" hidden="1" x14ac:dyDescent="0.3">
      <c r="A1177" s="124" t="s">
        <v>57</v>
      </c>
      <c r="B1177" s="122">
        <v>936</v>
      </c>
      <c r="C1177" s="105" t="s">
        <v>170</v>
      </c>
      <c r="D1177" s="105" t="s">
        <v>122</v>
      </c>
      <c r="E1177" s="91" t="s">
        <v>37</v>
      </c>
      <c r="F1177" s="91" t="s">
        <v>58</v>
      </c>
      <c r="G1177" s="74">
        <v>0</v>
      </c>
      <c r="H1177" s="74">
        <v>0</v>
      </c>
      <c r="I1177" s="102"/>
      <c r="AI1177" s="100">
        <v>0</v>
      </c>
    </row>
    <row r="1178" spans="1:39" ht="37.5" hidden="1" x14ac:dyDescent="0.3">
      <c r="A1178" s="124" t="s">
        <v>182</v>
      </c>
      <c r="B1178" s="122">
        <v>936</v>
      </c>
      <c r="C1178" s="105" t="s">
        <v>170</v>
      </c>
      <c r="D1178" s="105" t="s">
        <v>122</v>
      </c>
      <c r="E1178" s="91" t="s">
        <v>183</v>
      </c>
      <c r="F1178" s="91" t="s">
        <v>51</v>
      </c>
      <c r="G1178" s="74">
        <f>G1179</f>
        <v>0</v>
      </c>
      <c r="H1178" s="74">
        <f>H1179</f>
        <v>0</v>
      </c>
      <c r="I1178" s="102"/>
    </row>
    <row r="1179" spans="1:39" ht="93.75" hidden="1" x14ac:dyDescent="0.3">
      <c r="A1179" s="124" t="s">
        <v>57</v>
      </c>
      <c r="B1179" s="122">
        <v>936</v>
      </c>
      <c r="C1179" s="105" t="s">
        <v>170</v>
      </c>
      <c r="D1179" s="105" t="s">
        <v>122</v>
      </c>
      <c r="E1179" s="91" t="s">
        <v>183</v>
      </c>
      <c r="F1179" s="91" t="s">
        <v>58</v>
      </c>
      <c r="G1179" s="74">
        <v>0</v>
      </c>
      <c r="H1179" s="74">
        <v>0</v>
      </c>
      <c r="I1179" s="102"/>
      <c r="AI1179" s="100">
        <v>0.3</v>
      </c>
      <c r="AL1179" s="102">
        <v>0</v>
      </c>
      <c r="AM1179" s="102">
        <v>0</v>
      </c>
    </row>
    <row r="1180" spans="1:39" hidden="1" x14ac:dyDescent="0.3">
      <c r="A1180" s="124" t="s">
        <v>417</v>
      </c>
      <c r="B1180" s="122">
        <v>936</v>
      </c>
      <c r="C1180" s="105" t="s">
        <v>170</v>
      </c>
      <c r="D1180" s="105" t="s">
        <v>122</v>
      </c>
      <c r="E1180" s="91" t="s">
        <v>45</v>
      </c>
      <c r="F1180" s="91" t="s">
        <v>51</v>
      </c>
      <c r="G1180" s="74">
        <f t="shared" ref="G1180:H1182" si="54">G1181</f>
        <v>0</v>
      </c>
      <c r="H1180" s="74">
        <f t="shared" si="54"/>
        <v>0</v>
      </c>
      <c r="I1180" s="102"/>
    </row>
    <row r="1181" spans="1:39" ht="37.5" hidden="1" x14ac:dyDescent="0.3">
      <c r="A1181" s="124" t="s">
        <v>53</v>
      </c>
      <c r="B1181" s="122">
        <v>936</v>
      </c>
      <c r="C1181" s="105" t="s">
        <v>170</v>
      </c>
      <c r="D1181" s="105" t="s">
        <v>122</v>
      </c>
      <c r="E1181" s="91" t="s">
        <v>232</v>
      </c>
      <c r="F1181" s="91" t="s">
        <v>51</v>
      </c>
      <c r="G1181" s="74">
        <f t="shared" si="54"/>
        <v>0</v>
      </c>
      <c r="H1181" s="74">
        <f t="shared" si="54"/>
        <v>0</v>
      </c>
      <c r="I1181" s="102"/>
    </row>
    <row r="1182" spans="1:39" ht="37.5" hidden="1" x14ac:dyDescent="0.3">
      <c r="A1182" s="124" t="s">
        <v>231</v>
      </c>
      <c r="B1182" s="122">
        <v>936</v>
      </c>
      <c r="C1182" s="105" t="s">
        <v>170</v>
      </c>
      <c r="D1182" s="105" t="s">
        <v>122</v>
      </c>
      <c r="E1182" s="91" t="s">
        <v>233</v>
      </c>
      <c r="F1182" s="91" t="s">
        <v>51</v>
      </c>
      <c r="G1182" s="74">
        <f t="shared" si="54"/>
        <v>0</v>
      </c>
      <c r="H1182" s="74">
        <f t="shared" si="54"/>
        <v>0</v>
      </c>
      <c r="I1182" s="102"/>
    </row>
    <row r="1183" spans="1:39" ht="93.75" hidden="1" x14ac:dyDescent="0.3">
      <c r="A1183" s="124" t="s">
        <v>57</v>
      </c>
      <c r="B1183" s="122">
        <v>936</v>
      </c>
      <c r="C1183" s="105" t="s">
        <v>170</v>
      </c>
      <c r="D1183" s="105" t="s">
        <v>122</v>
      </c>
      <c r="E1183" s="91" t="s">
        <v>233</v>
      </c>
      <c r="F1183" s="91" t="s">
        <v>58</v>
      </c>
      <c r="G1183" s="74">
        <v>0</v>
      </c>
      <c r="H1183" s="74">
        <v>0</v>
      </c>
      <c r="I1183" s="102"/>
    </row>
    <row r="1184" spans="1:39" ht="25.5" hidden="1" customHeight="1" x14ac:dyDescent="0.3">
      <c r="A1184" s="119" t="s">
        <v>328</v>
      </c>
      <c r="B1184" s="118">
        <v>936</v>
      </c>
      <c r="C1184" s="120" t="s">
        <v>170</v>
      </c>
      <c r="D1184" s="120" t="s">
        <v>120</v>
      </c>
      <c r="E1184" s="118" t="s">
        <v>50</v>
      </c>
      <c r="F1184" s="114" t="s">
        <v>51</v>
      </c>
      <c r="G1184" s="93">
        <f t="shared" ref="G1184:H1188" si="55">G1185</f>
        <v>0</v>
      </c>
      <c r="H1184" s="93">
        <f t="shared" si="55"/>
        <v>0</v>
      </c>
      <c r="I1184" s="102"/>
    </row>
    <row r="1185" spans="1:56" ht="56.25" hidden="1" x14ac:dyDescent="0.3">
      <c r="A1185" s="121" t="s">
        <v>0</v>
      </c>
      <c r="B1185" s="122">
        <v>936</v>
      </c>
      <c r="C1185" s="105" t="s">
        <v>170</v>
      </c>
      <c r="D1185" s="105" t="s">
        <v>120</v>
      </c>
      <c r="E1185" s="91" t="s">
        <v>93</v>
      </c>
      <c r="F1185" s="91" t="s">
        <v>51</v>
      </c>
      <c r="G1185" s="74">
        <f t="shared" si="55"/>
        <v>0</v>
      </c>
      <c r="H1185" s="74">
        <f t="shared" si="55"/>
        <v>0</v>
      </c>
      <c r="I1185" s="102"/>
    </row>
    <row r="1186" spans="1:56" ht="75" hidden="1" x14ac:dyDescent="0.3">
      <c r="A1186" s="121" t="s">
        <v>2</v>
      </c>
      <c r="B1186" s="122">
        <v>936</v>
      </c>
      <c r="C1186" s="105" t="s">
        <v>170</v>
      </c>
      <c r="D1186" s="105" t="s">
        <v>120</v>
      </c>
      <c r="E1186" s="91" t="s">
        <v>26</v>
      </c>
      <c r="F1186" s="91" t="s">
        <v>51</v>
      </c>
      <c r="G1186" s="74">
        <f t="shared" si="55"/>
        <v>0</v>
      </c>
      <c r="H1186" s="74">
        <f t="shared" si="55"/>
        <v>0</v>
      </c>
      <c r="I1186" s="102"/>
    </row>
    <row r="1187" spans="1:56" hidden="1" x14ac:dyDescent="0.3">
      <c r="A1187" s="124" t="s">
        <v>63</v>
      </c>
      <c r="B1187" s="122">
        <v>936</v>
      </c>
      <c r="C1187" s="105" t="s">
        <v>170</v>
      </c>
      <c r="D1187" s="105" t="s">
        <v>120</v>
      </c>
      <c r="E1187" s="91" t="s">
        <v>290</v>
      </c>
      <c r="F1187" s="91" t="s">
        <v>51</v>
      </c>
      <c r="G1187" s="74">
        <f t="shared" si="55"/>
        <v>0</v>
      </c>
      <c r="H1187" s="74">
        <f t="shared" si="55"/>
        <v>0</v>
      </c>
      <c r="I1187" s="102"/>
    </row>
    <row r="1188" spans="1:56" ht="37.5" hidden="1" x14ac:dyDescent="0.3">
      <c r="A1188" s="124" t="s">
        <v>329</v>
      </c>
      <c r="B1188" s="122">
        <v>936</v>
      </c>
      <c r="C1188" s="105" t="s">
        <v>170</v>
      </c>
      <c r="D1188" s="105" t="s">
        <v>120</v>
      </c>
      <c r="E1188" s="91" t="s">
        <v>330</v>
      </c>
      <c r="F1188" s="91" t="s">
        <v>51</v>
      </c>
      <c r="G1188" s="74">
        <f t="shared" si="55"/>
        <v>0</v>
      </c>
      <c r="H1188" s="74">
        <f t="shared" si="55"/>
        <v>0</v>
      </c>
      <c r="I1188" s="102"/>
    </row>
    <row r="1189" spans="1:56" ht="40.5" hidden="1" customHeight="1" x14ac:dyDescent="0.3">
      <c r="A1189" s="124" t="s">
        <v>267</v>
      </c>
      <c r="B1189" s="122">
        <v>936</v>
      </c>
      <c r="C1189" s="105" t="s">
        <v>170</v>
      </c>
      <c r="D1189" s="105" t="s">
        <v>120</v>
      </c>
      <c r="E1189" s="91" t="s">
        <v>330</v>
      </c>
      <c r="F1189" s="91" t="s">
        <v>264</v>
      </c>
      <c r="G1189" s="74">
        <v>0</v>
      </c>
      <c r="H1189" s="74">
        <v>0</v>
      </c>
      <c r="I1189" s="102"/>
      <c r="AI1189" s="100">
        <v>587.70000000000005</v>
      </c>
      <c r="AL1189" s="102">
        <v>0</v>
      </c>
      <c r="AM1189" s="102">
        <v>0</v>
      </c>
    </row>
    <row r="1190" spans="1:56" ht="71.45" customHeight="1" x14ac:dyDescent="0.3">
      <c r="A1190" s="198" t="s">
        <v>676</v>
      </c>
      <c r="B1190" s="122">
        <v>936</v>
      </c>
      <c r="C1190" s="105" t="s">
        <v>170</v>
      </c>
      <c r="D1190" s="105" t="s">
        <v>122</v>
      </c>
      <c r="E1190" s="21" t="s">
        <v>886</v>
      </c>
      <c r="F1190" s="21" t="s">
        <v>51</v>
      </c>
      <c r="G1190" s="74">
        <f>G1191</f>
        <v>0</v>
      </c>
      <c r="H1190" s="74">
        <f>H1191</f>
        <v>5607.7</v>
      </c>
      <c r="I1190" s="102"/>
    </row>
    <row r="1191" spans="1:56" ht="40.5" customHeight="1" x14ac:dyDescent="0.3">
      <c r="A1191" s="124" t="s">
        <v>293</v>
      </c>
      <c r="B1191" s="122">
        <v>936</v>
      </c>
      <c r="C1191" s="105" t="s">
        <v>170</v>
      </c>
      <c r="D1191" s="105" t="s">
        <v>122</v>
      </c>
      <c r="E1191" s="21" t="s">
        <v>886</v>
      </c>
      <c r="F1191" s="10" t="s">
        <v>294</v>
      </c>
      <c r="G1191" s="74">
        <v>0</v>
      </c>
      <c r="H1191" s="74">
        <v>5607.7</v>
      </c>
      <c r="I1191" s="102"/>
    </row>
    <row r="1192" spans="1:56" ht="30.75" customHeight="1" x14ac:dyDescent="0.3">
      <c r="A1192" s="124" t="s">
        <v>417</v>
      </c>
      <c r="B1192" s="122">
        <v>936</v>
      </c>
      <c r="C1192" s="105" t="s">
        <v>170</v>
      </c>
      <c r="D1192" s="105" t="s">
        <v>122</v>
      </c>
      <c r="E1192" s="91" t="s">
        <v>458</v>
      </c>
      <c r="F1192" s="91" t="s">
        <v>51</v>
      </c>
      <c r="G1192" s="74">
        <f>G1193</f>
        <v>3042.21</v>
      </c>
      <c r="H1192" s="74">
        <f>H1193</f>
        <v>3042.21</v>
      </c>
      <c r="I1192" s="102"/>
    </row>
    <row r="1193" spans="1:56" ht="40.5" customHeight="1" x14ac:dyDescent="0.3">
      <c r="A1193" s="135" t="s">
        <v>751</v>
      </c>
      <c r="B1193" s="122">
        <v>936</v>
      </c>
      <c r="C1193" s="105" t="s">
        <v>170</v>
      </c>
      <c r="D1193" s="105" t="s">
        <v>122</v>
      </c>
      <c r="E1193" s="10" t="s">
        <v>891</v>
      </c>
      <c r="F1193" s="91" t="s">
        <v>51</v>
      </c>
      <c r="G1193" s="74">
        <f>G1194</f>
        <v>3042.21</v>
      </c>
      <c r="H1193" s="74">
        <f>H1194</f>
        <v>3042.21</v>
      </c>
      <c r="I1193" s="102"/>
    </row>
    <row r="1194" spans="1:56" ht="34.5" customHeight="1" x14ac:dyDescent="0.3">
      <c r="A1194" s="124" t="s">
        <v>176</v>
      </c>
      <c r="B1194" s="122">
        <v>936</v>
      </c>
      <c r="C1194" s="105" t="s">
        <v>170</v>
      </c>
      <c r="D1194" s="105" t="s">
        <v>122</v>
      </c>
      <c r="E1194" s="10" t="s">
        <v>891</v>
      </c>
      <c r="F1194" s="91" t="s">
        <v>177</v>
      </c>
      <c r="G1194" s="74">
        <f>2433.21+609</f>
        <v>3042.21</v>
      </c>
      <c r="H1194" s="74">
        <f>2433.21+609</f>
        <v>3042.21</v>
      </c>
      <c r="I1194" s="102"/>
      <c r="AR1194" s="101">
        <v>130</v>
      </c>
      <c r="BC1194" s="236">
        <f>610.95+180.6</f>
        <v>791.55000000000007</v>
      </c>
      <c r="BD1194" s="236">
        <f>610.95+180.6</f>
        <v>791.55000000000007</v>
      </c>
    </row>
    <row r="1195" spans="1:56" x14ac:dyDescent="0.3">
      <c r="A1195" s="145" t="s">
        <v>331</v>
      </c>
      <c r="B1195" s="118">
        <v>936</v>
      </c>
      <c r="C1195" s="146">
        <v>11</v>
      </c>
      <c r="D1195" s="114" t="s">
        <v>113</v>
      </c>
      <c r="E1195" s="146" t="s">
        <v>50</v>
      </c>
      <c r="F1195" s="114" t="s">
        <v>51</v>
      </c>
      <c r="G1195" s="93">
        <f>G1196+G1208</f>
        <v>47288.7</v>
      </c>
      <c r="H1195" s="93">
        <f>H1196+H1208</f>
        <v>47288.7</v>
      </c>
      <c r="I1195" s="102"/>
    </row>
    <row r="1196" spans="1:56" hidden="1" x14ac:dyDescent="0.3">
      <c r="A1196" s="145" t="s">
        <v>332</v>
      </c>
      <c r="B1196" s="146">
        <v>936</v>
      </c>
      <c r="C1196" s="146">
        <v>11</v>
      </c>
      <c r="D1196" s="114" t="s">
        <v>117</v>
      </c>
      <c r="E1196" s="146" t="s">
        <v>50</v>
      </c>
      <c r="F1196" s="114" t="s">
        <v>51</v>
      </c>
      <c r="G1196" s="93">
        <f>G1197+G1203</f>
        <v>0</v>
      </c>
      <c r="H1196" s="93">
        <f>H1197+H1203</f>
        <v>0</v>
      </c>
      <c r="I1196" s="102"/>
    </row>
    <row r="1197" spans="1:56" ht="56.25" hidden="1" x14ac:dyDescent="0.3">
      <c r="A1197" s="121" t="s">
        <v>160</v>
      </c>
      <c r="B1197" s="156">
        <v>936</v>
      </c>
      <c r="C1197" s="105" t="s">
        <v>185</v>
      </c>
      <c r="D1197" s="105" t="s">
        <v>117</v>
      </c>
      <c r="E1197" s="91" t="s">
        <v>92</v>
      </c>
      <c r="F1197" s="91" t="s">
        <v>51</v>
      </c>
      <c r="G1197" s="74">
        <f>G1198</f>
        <v>0</v>
      </c>
      <c r="H1197" s="74">
        <f>H1198</f>
        <v>0</v>
      </c>
      <c r="I1197" s="102"/>
    </row>
    <row r="1198" spans="1:56" ht="24.75" hidden="1" customHeight="1" x14ac:dyDescent="0.3">
      <c r="A1198" s="124" t="s">
        <v>63</v>
      </c>
      <c r="B1198" s="156">
        <v>936</v>
      </c>
      <c r="C1198" s="105" t="s">
        <v>185</v>
      </c>
      <c r="D1198" s="105" t="s">
        <v>117</v>
      </c>
      <c r="E1198" s="91" t="s">
        <v>334</v>
      </c>
      <c r="F1198" s="91" t="s">
        <v>51</v>
      </c>
      <c r="G1198" s="74">
        <f>G1199</f>
        <v>0</v>
      </c>
      <c r="H1198" s="74">
        <f>H1199</f>
        <v>0</v>
      </c>
      <c r="I1198" s="102"/>
    </row>
    <row r="1199" spans="1:56" ht="38.25" hidden="1" customHeight="1" x14ac:dyDescent="0.3">
      <c r="A1199" s="124" t="s">
        <v>333</v>
      </c>
      <c r="B1199" s="156">
        <v>936</v>
      </c>
      <c r="C1199" s="105" t="s">
        <v>185</v>
      </c>
      <c r="D1199" s="105" t="s">
        <v>117</v>
      </c>
      <c r="E1199" s="91" t="s">
        <v>335</v>
      </c>
      <c r="F1199" s="91" t="s">
        <v>51</v>
      </c>
      <c r="G1199" s="74">
        <f>G1200+G1201+G1202</f>
        <v>0</v>
      </c>
      <c r="H1199" s="74">
        <f>H1200+H1201+H1202</f>
        <v>0</v>
      </c>
      <c r="I1199" s="102"/>
    </row>
    <row r="1200" spans="1:56" ht="93.75" hidden="1" outlineLevel="1" x14ac:dyDescent="0.3">
      <c r="A1200" s="124" t="s">
        <v>57</v>
      </c>
      <c r="B1200" s="156">
        <v>936</v>
      </c>
      <c r="C1200" s="105" t="s">
        <v>185</v>
      </c>
      <c r="D1200" s="105" t="s">
        <v>117</v>
      </c>
      <c r="E1200" s="91" t="s">
        <v>335</v>
      </c>
      <c r="F1200" s="91" t="s">
        <v>58</v>
      </c>
      <c r="G1200" s="74">
        <v>0</v>
      </c>
      <c r="H1200" s="74">
        <v>0</v>
      </c>
      <c r="I1200" s="102"/>
      <c r="AC1200" s="100">
        <v>1.5</v>
      </c>
      <c r="AI1200" s="100">
        <v>0</v>
      </c>
    </row>
    <row r="1201" spans="1:54" ht="37.5" hidden="1" x14ac:dyDescent="0.3">
      <c r="A1201" s="124" t="s">
        <v>433</v>
      </c>
      <c r="B1201" s="156">
        <v>936</v>
      </c>
      <c r="C1201" s="105" t="s">
        <v>185</v>
      </c>
      <c r="D1201" s="105" t="s">
        <v>117</v>
      </c>
      <c r="E1201" s="91" t="s">
        <v>335</v>
      </c>
      <c r="F1201" s="91" t="s">
        <v>60</v>
      </c>
      <c r="G1201" s="74">
        <v>0</v>
      </c>
      <c r="H1201" s="74">
        <v>0</v>
      </c>
      <c r="I1201" s="102"/>
    </row>
    <row r="1202" spans="1:54" ht="45" hidden="1" customHeight="1" x14ac:dyDescent="0.3">
      <c r="A1202" s="124" t="s">
        <v>267</v>
      </c>
      <c r="B1202" s="156">
        <v>936</v>
      </c>
      <c r="C1202" s="105" t="s">
        <v>185</v>
      </c>
      <c r="D1202" s="105" t="s">
        <v>117</v>
      </c>
      <c r="E1202" s="91" t="s">
        <v>335</v>
      </c>
      <c r="F1202" s="91" t="s">
        <v>264</v>
      </c>
      <c r="G1202" s="74">
        <v>0</v>
      </c>
      <c r="H1202" s="74">
        <v>0</v>
      </c>
      <c r="I1202" s="102"/>
    </row>
    <row r="1203" spans="1:54" ht="48" hidden="1" customHeight="1" x14ac:dyDescent="0.3">
      <c r="A1203" s="121" t="s">
        <v>162</v>
      </c>
      <c r="B1203" s="156">
        <v>936</v>
      </c>
      <c r="C1203" s="91" t="s">
        <v>185</v>
      </c>
      <c r="D1203" s="105" t="s">
        <v>117</v>
      </c>
      <c r="E1203" s="91" t="s">
        <v>100</v>
      </c>
      <c r="F1203" s="91" t="s">
        <v>51</v>
      </c>
      <c r="G1203" s="74">
        <f t="shared" ref="G1203:H1206" si="56">G1204</f>
        <v>0</v>
      </c>
      <c r="H1203" s="74">
        <f t="shared" si="56"/>
        <v>0</v>
      </c>
      <c r="I1203" s="102"/>
    </row>
    <row r="1204" spans="1:54" ht="56.25" hidden="1" x14ac:dyDescent="0.3">
      <c r="A1204" s="121" t="s">
        <v>11</v>
      </c>
      <c r="B1204" s="122">
        <v>936</v>
      </c>
      <c r="C1204" s="91" t="s">
        <v>185</v>
      </c>
      <c r="D1204" s="105" t="s">
        <v>117</v>
      </c>
      <c r="E1204" s="91" t="s">
        <v>29</v>
      </c>
      <c r="F1204" s="91" t="s">
        <v>51</v>
      </c>
      <c r="G1204" s="74">
        <f t="shared" si="56"/>
        <v>0</v>
      </c>
      <c r="H1204" s="74">
        <f t="shared" si="56"/>
        <v>0</v>
      </c>
      <c r="I1204" s="102"/>
    </row>
    <row r="1205" spans="1:54" ht="75" hidden="1" x14ac:dyDescent="0.3">
      <c r="A1205" s="124" t="s">
        <v>252</v>
      </c>
      <c r="B1205" s="122">
        <v>936</v>
      </c>
      <c r="C1205" s="91" t="s">
        <v>185</v>
      </c>
      <c r="D1205" s="105" t="s">
        <v>117</v>
      </c>
      <c r="E1205" s="91" t="s">
        <v>257</v>
      </c>
      <c r="F1205" s="91" t="s">
        <v>51</v>
      </c>
      <c r="G1205" s="74">
        <f t="shared" si="56"/>
        <v>0</v>
      </c>
      <c r="H1205" s="74">
        <f t="shared" si="56"/>
        <v>0</v>
      </c>
      <c r="I1205" s="102"/>
    </row>
    <row r="1206" spans="1:54" ht="56.25" hidden="1" x14ac:dyDescent="0.3">
      <c r="A1206" s="124" t="s">
        <v>256</v>
      </c>
      <c r="B1206" s="122">
        <v>936</v>
      </c>
      <c r="C1206" s="91" t="s">
        <v>185</v>
      </c>
      <c r="D1206" s="105" t="s">
        <v>117</v>
      </c>
      <c r="E1206" s="91" t="s">
        <v>258</v>
      </c>
      <c r="F1206" s="91" t="s">
        <v>51</v>
      </c>
      <c r="G1206" s="74">
        <f t="shared" si="56"/>
        <v>0</v>
      </c>
      <c r="H1206" s="74">
        <f t="shared" si="56"/>
        <v>0</v>
      </c>
      <c r="I1206" s="102"/>
    </row>
    <row r="1207" spans="1:54" ht="39.75" hidden="1" customHeight="1" x14ac:dyDescent="0.3">
      <c r="A1207" s="124" t="s">
        <v>267</v>
      </c>
      <c r="B1207" s="122">
        <v>936</v>
      </c>
      <c r="C1207" s="91" t="s">
        <v>185</v>
      </c>
      <c r="D1207" s="105" t="s">
        <v>117</v>
      </c>
      <c r="E1207" s="91" t="s">
        <v>258</v>
      </c>
      <c r="F1207" s="91" t="s">
        <v>264</v>
      </c>
      <c r="G1207" s="74">
        <v>0</v>
      </c>
      <c r="H1207" s="74">
        <v>0</v>
      </c>
      <c r="I1207" s="102"/>
    </row>
    <row r="1208" spans="1:54" x14ac:dyDescent="0.3">
      <c r="A1208" s="119" t="s">
        <v>336</v>
      </c>
      <c r="B1208" s="146">
        <v>936</v>
      </c>
      <c r="C1208" s="146">
        <v>11</v>
      </c>
      <c r="D1208" s="120" t="s">
        <v>118</v>
      </c>
      <c r="E1208" s="146" t="s">
        <v>50</v>
      </c>
      <c r="F1208" s="114" t="s">
        <v>51</v>
      </c>
      <c r="G1208" s="93">
        <f>G1209+G1219</f>
        <v>47288.7</v>
      </c>
      <c r="H1208" s="93">
        <f>H1209+H1219</f>
        <v>47288.7</v>
      </c>
      <c r="I1208" s="102"/>
    </row>
    <row r="1209" spans="1:54" ht="56.25" x14ac:dyDescent="0.3">
      <c r="A1209" s="121" t="s">
        <v>160</v>
      </c>
      <c r="B1209" s="156">
        <v>936</v>
      </c>
      <c r="C1209" s="105" t="s">
        <v>185</v>
      </c>
      <c r="D1209" s="105" t="s">
        <v>118</v>
      </c>
      <c r="E1209" s="91" t="s">
        <v>92</v>
      </c>
      <c r="F1209" s="91" t="s">
        <v>51</v>
      </c>
      <c r="G1209" s="74">
        <f>G1210+G1216+G1235</f>
        <v>47288.7</v>
      </c>
      <c r="H1209" s="74">
        <f>H1210+H1216+H1235</f>
        <v>47288.7</v>
      </c>
      <c r="I1209" s="102"/>
    </row>
    <row r="1210" spans="1:54" ht="37.5" x14ac:dyDescent="0.3">
      <c r="A1210" s="124" t="s">
        <v>53</v>
      </c>
      <c r="B1210" s="156">
        <v>936</v>
      </c>
      <c r="C1210" s="105" t="s">
        <v>185</v>
      </c>
      <c r="D1210" s="105" t="s">
        <v>118</v>
      </c>
      <c r="E1210" s="91" t="s">
        <v>361</v>
      </c>
      <c r="F1210" s="91" t="s">
        <v>51</v>
      </c>
      <c r="G1210" s="74">
        <f>G1211+G1213</f>
        <v>46488.7</v>
      </c>
      <c r="H1210" s="74">
        <f>H1211+H1213</f>
        <v>46488.7</v>
      </c>
      <c r="I1210" s="102"/>
    </row>
    <row r="1211" spans="1:54" ht="39.75" customHeight="1" x14ac:dyDescent="0.3">
      <c r="A1211" s="124" t="s">
        <v>390</v>
      </c>
      <c r="B1211" s="156">
        <v>936</v>
      </c>
      <c r="C1211" s="105" t="s">
        <v>185</v>
      </c>
      <c r="D1211" s="105" t="s">
        <v>118</v>
      </c>
      <c r="E1211" s="91" t="s">
        <v>362</v>
      </c>
      <c r="F1211" s="91" t="s">
        <v>51</v>
      </c>
      <c r="G1211" s="74">
        <f>G1212</f>
        <v>46488.7</v>
      </c>
      <c r="H1211" s="74">
        <f>H1212</f>
        <v>46488.7</v>
      </c>
      <c r="I1211" s="102"/>
    </row>
    <row r="1212" spans="1:54" ht="43.5" customHeight="1" x14ac:dyDescent="0.3">
      <c r="A1212" s="124" t="s">
        <v>267</v>
      </c>
      <c r="B1212" s="156">
        <v>936</v>
      </c>
      <c r="C1212" s="105" t="s">
        <v>185</v>
      </c>
      <c r="D1212" s="105" t="s">
        <v>118</v>
      </c>
      <c r="E1212" s="91" t="s">
        <v>362</v>
      </c>
      <c r="F1212" s="91" t="s">
        <v>264</v>
      </c>
      <c r="G1212" s="74">
        <f>47.2+36237.2+9765.3+439</f>
        <v>46488.7</v>
      </c>
      <c r="H1212" s="74">
        <f>9765.3+36284.4+439</f>
        <v>46488.7</v>
      </c>
      <c r="I1212" s="102"/>
      <c r="U1212" s="100">
        <v>40</v>
      </c>
      <c r="AA1212" s="100">
        <v>33</v>
      </c>
      <c r="AD1212" s="100">
        <v>191.7</v>
      </c>
      <c r="AE1212" s="100">
        <v>755.3</v>
      </c>
      <c r="AI1212" s="100">
        <f>27907.6+140</f>
        <v>28047.599999999999</v>
      </c>
      <c r="AL1212" s="102">
        <v>27531.599999999999</v>
      </c>
      <c r="AM1212" s="102">
        <v>27531.599999999999</v>
      </c>
      <c r="AR1212" s="101">
        <f>25978.7+10169.4</f>
        <v>36148.1</v>
      </c>
      <c r="AT1212" s="101">
        <f>25978.7+10169.4</f>
        <v>36148.1</v>
      </c>
      <c r="BA1212" s="227">
        <v>40586</v>
      </c>
      <c r="BB1212" s="223">
        <v>40586</v>
      </c>
    </row>
    <row r="1213" spans="1:54" ht="43.5" hidden="1" customHeight="1" x14ac:dyDescent="0.3">
      <c r="A1213" s="125" t="s">
        <v>377</v>
      </c>
      <c r="B1213" s="156">
        <v>936</v>
      </c>
      <c r="C1213" s="105" t="s">
        <v>185</v>
      </c>
      <c r="D1213" s="105" t="s">
        <v>118</v>
      </c>
      <c r="E1213" s="91" t="s">
        <v>519</v>
      </c>
      <c r="F1213" s="91" t="s">
        <v>51</v>
      </c>
      <c r="G1213" s="74">
        <f>G1214</f>
        <v>0</v>
      </c>
      <c r="H1213" s="74">
        <f>H1214</f>
        <v>0</v>
      </c>
      <c r="I1213" s="102"/>
    </row>
    <row r="1214" spans="1:54" ht="43.5" hidden="1" customHeight="1" x14ac:dyDescent="0.3">
      <c r="A1214" s="124" t="s">
        <v>267</v>
      </c>
      <c r="B1214" s="156">
        <v>936</v>
      </c>
      <c r="C1214" s="105" t="s">
        <v>185</v>
      </c>
      <c r="D1214" s="105" t="s">
        <v>118</v>
      </c>
      <c r="E1214" s="91" t="s">
        <v>519</v>
      </c>
      <c r="F1214" s="91" t="s">
        <v>264</v>
      </c>
      <c r="G1214" s="74">
        <v>0</v>
      </c>
      <c r="H1214" s="74">
        <v>0</v>
      </c>
      <c r="I1214" s="102"/>
      <c r="AD1214" s="100">
        <v>-299.983</v>
      </c>
      <c r="AI1214" s="100">
        <v>0</v>
      </c>
    </row>
    <row r="1215" spans="1:54" ht="43.5" hidden="1" customHeight="1" x14ac:dyDescent="0.3">
      <c r="A1215" s="124" t="s">
        <v>419</v>
      </c>
      <c r="B1215" s="156">
        <v>936</v>
      </c>
      <c r="C1215" s="199" t="s">
        <v>185</v>
      </c>
      <c r="D1215" s="199" t="s">
        <v>118</v>
      </c>
      <c r="E1215" s="123" t="s">
        <v>418</v>
      </c>
      <c r="F1215" s="91" t="s">
        <v>51</v>
      </c>
      <c r="G1215" s="74">
        <f t="shared" ref="G1215:H1217" si="57">G1216</f>
        <v>0</v>
      </c>
      <c r="H1215" s="74">
        <f t="shared" si="57"/>
        <v>0</v>
      </c>
      <c r="I1215" s="102"/>
    </row>
    <row r="1216" spans="1:54" hidden="1" x14ac:dyDescent="0.3">
      <c r="A1216" s="198" t="s">
        <v>420</v>
      </c>
      <c r="B1216" s="156">
        <v>936</v>
      </c>
      <c r="C1216" s="199" t="s">
        <v>185</v>
      </c>
      <c r="D1216" s="199" t="s">
        <v>118</v>
      </c>
      <c r="E1216" s="200" t="s">
        <v>366</v>
      </c>
      <c r="F1216" s="200" t="s">
        <v>51</v>
      </c>
      <c r="G1216" s="74">
        <f t="shared" si="57"/>
        <v>0</v>
      </c>
      <c r="H1216" s="74">
        <f t="shared" si="57"/>
        <v>0</v>
      </c>
      <c r="I1216" s="102"/>
    </row>
    <row r="1217" spans="1:39" ht="81" hidden="1" customHeight="1" x14ac:dyDescent="0.3">
      <c r="A1217" s="201" t="s">
        <v>365</v>
      </c>
      <c r="B1217" s="156">
        <v>936</v>
      </c>
      <c r="C1217" s="199" t="s">
        <v>185</v>
      </c>
      <c r="D1217" s="199" t="s">
        <v>118</v>
      </c>
      <c r="E1217" s="123" t="s">
        <v>367</v>
      </c>
      <c r="F1217" s="123" t="s">
        <v>51</v>
      </c>
      <c r="G1217" s="74">
        <f t="shared" si="57"/>
        <v>0</v>
      </c>
      <c r="H1217" s="74">
        <f t="shared" si="57"/>
        <v>0</v>
      </c>
      <c r="I1217" s="102"/>
    </row>
    <row r="1218" spans="1:39" ht="43.5" hidden="1" customHeight="1" x14ac:dyDescent="0.3">
      <c r="A1218" s="198" t="s">
        <v>267</v>
      </c>
      <c r="B1218" s="156">
        <v>936</v>
      </c>
      <c r="C1218" s="199" t="s">
        <v>185</v>
      </c>
      <c r="D1218" s="199" t="s">
        <v>118</v>
      </c>
      <c r="E1218" s="123" t="s">
        <v>367</v>
      </c>
      <c r="F1218" s="91" t="s">
        <v>264</v>
      </c>
      <c r="G1218" s="74">
        <v>0</v>
      </c>
      <c r="H1218" s="74">
        <v>0</v>
      </c>
      <c r="I1218" s="102"/>
    </row>
    <row r="1219" spans="1:39" ht="45.75" hidden="1" customHeight="1" x14ac:dyDescent="0.3">
      <c r="A1219" s="121" t="s">
        <v>162</v>
      </c>
      <c r="B1219" s="156">
        <v>936</v>
      </c>
      <c r="C1219" s="105" t="s">
        <v>185</v>
      </c>
      <c r="D1219" s="105" t="s">
        <v>118</v>
      </c>
      <c r="E1219" s="123" t="s">
        <v>100</v>
      </c>
      <c r="F1219" s="140" t="s">
        <v>51</v>
      </c>
      <c r="G1219" s="74">
        <f>G1220</f>
        <v>0</v>
      </c>
      <c r="H1219" s="74">
        <f>H1220</f>
        <v>0</v>
      </c>
      <c r="I1219" s="102"/>
      <c r="AL1219" s="100"/>
      <c r="AM1219" s="100"/>
    </row>
    <row r="1220" spans="1:39" ht="57.75" hidden="1" customHeight="1" x14ac:dyDescent="0.3">
      <c r="A1220" s="121" t="s">
        <v>11</v>
      </c>
      <c r="B1220" s="156">
        <v>936</v>
      </c>
      <c r="C1220" s="105" t="s">
        <v>185</v>
      </c>
      <c r="D1220" s="105" t="s">
        <v>118</v>
      </c>
      <c r="E1220" s="123" t="s">
        <v>29</v>
      </c>
      <c r="F1220" s="91" t="s">
        <v>51</v>
      </c>
      <c r="G1220" s="202">
        <f>G1221+G1226+G1228+G1230</f>
        <v>0</v>
      </c>
      <c r="H1220" s="202">
        <f>H1221+H1226+H1228+H1230</f>
        <v>0</v>
      </c>
      <c r="I1220" s="102"/>
      <c r="AL1220" s="100"/>
      <c r="AM1220" s="100"/>
    </row>
    <row r="1221" spans="1:39" ht="78" hidden="1" customHeight="1" x14ac:dyDescent="0.3">
      <c r="A1221" s="124" t="s">
        <v>252</v>
      </c>
      <c r="B1221" s="122">
        <v>936</v>
      </c>
      <c r="C1221" s="105" t="s">
        <v>185</v>
      </c>
      <c r="D1221" s="105" t="s">
        <v>118</v>
      </c>
      <c r="E1221" s="91" t="s">
        <v>257</v>
      </c>
      <c r="F1221" s="91" t="s">
        <v>51</v>
      </c>
      <c r="G1221" s="74">
        <f>G1222+G1224</f>
        <v>0</v>
      </c>
      <c r="H1221" s="74">
        <f>H1222+H1224</f>
        <v>0</v>
      </c>
      <c r="I1221" s="102"/>
      <c r="AL1221" s="100"/>
      <c r="AM1221" s="100"/>
    </row>
    <row r="1222" spans="1:39" ht="144.75" hidden="1" customHeight="1" x14ac:dyDescent="0.3">
      <c r="A1222" s="124" t="s">
        <v>610</v>
      </c>
      <c r="B1222" s="156">
        <v>936</v>
      </c>
      <c r="C1222" s="105" t="s">
        <v>185</v>
      </c>
      <c r="D1222" s="105" t="s">
        <v>118</v>
      </c>
      <c r="E1222" s="123" t="s">
        <v>604</v>
      </c>
      <c r="F1222" s="91" t="s">
        <v>51</v>
      </c>
      <c r="G1222" s="74">
        <f>G1223</f>
        <v>0</v>
      </c>
      <c r="H1222" s="74">
        <f>H1223</f>
        <v>0</v>
      </c>
      <c r="I1222" s="102"/>
      <c r="AL1222" s="100"/>
      <c r="AM1222" s="100"/>
    </row>
    <row r="1223" spans="1:39" ht="56.25" hidden="1" x14ac:dyDescent="0.3">
      <c r="A1223" s="124" t="s">
        <v>267</v>
      </c>
      <c r="B1223" s="156">
        <v>936</v>
      </c>
      <c r="C1223" s="105" t="s">
        <v>185</v>
      </c>
      <c r="D1223" s="105" t="s">
        <v>118</v>
      </c>
      <c r="E1223" s="123" t="s">
        <v>604</v>
      </c>
      <c r="F1223" s="175">
        <v>600</v>
      </c>
      <c r="G1223" s="202">
        <v>0</v>
      </c>
      <c r="H1223" s="202">
        <v>0</v>
      </c>
      <c r="I1223" s="102">
        <v>1000</v>
      </c>
      <c r="J1223" s="102"/>
      <c r="X1223" s="100">
        <v>211.25299999999999</v>
      </c>
      <c r="AI1223" s="100">
        <v>0</v>
      </c>
      <c r="AL1223" s="100"/>
      <c r="AM1223" s="100"/>
    </row>
    <row r="1224" spans="1:39" ht="150" hidden="1" x14ac:dyDescent="0.3">
      <c r="A1224" s="124" t="s">
        <v>611</v>
      </c>
      <c r="B1224" s="156">
        <v>936</v>
      </c>
      <c r="C1224" s="105" t="s">
        <v>185</v>
      </c>
      <c r="D1224" s="105" t="s">
        <v>118</v>
      </c>
      <c r="E1224" s="123" t="s">
        <v>605</v>
      </c>
      <c r="F1224" s="91" t="s">
        <v>51</v>
      </c>
      <c r="G1224" s="202">
        <f>G1225</f>
        <v>0</v>
      </c>
      <c r="H1224" s="202">
        <f>H1225</f>
        <v>0</v>
      </c>
      <c r="I1224" s="102"/>
      <c r="J1224" s="102"/>
      <c r="AL1224" s="100"/>
      <c r="AM1224" s="100"/>
    </row>
    <row r="1225" spans="1:39" ht="56.25" hidden="1" x14ac:dyDescent="0.3">
      <c r="A1225" s="124" t="s">
        <v>267</v>
      </c>
      <c r="B1225" s="156">
        <v>936</v>
      </c>
      <c r="C1225" s="105" t="s">
        <v>185</v>
      </c>
      <c r="D1225" s="105" t="s">
        <v>118</v>
      </c>
      <c r="E1225" s="123" t="s">
        <v>605</v>
      </c>
      <c r="F1225" s="175">
        <v>600</v>
      </c>
      <c r="G1225" s="202">
        <v>0</v>
      </c>
      <c r="H1225" s="202">
        <v>0</v>
      </c>
      <c r="I1225" s="102">
        <v>1000</v>
      </c>
      <c r="X1225" s="100">
        <v>211.047</v>
      </c>
      <c r="AI1225" s="100">
        <v>0</v>
      </c>
      <c r="AL1225" s="100"/>
      <c r="AM1225" s="100"/>
    </row>
    <row r="1226" spans="1:39" ht="131.25" hidden="1" x14ac:dyDescent="0.3">
      <c r="A1226" s="124" t="s">
        <v>610</v>
      </c>
      <c r="B1226" s="156">
        <v>936</v>
      </c>
      <c r="C1226" s="105" t="s">
        <v>185</v>
      </c>
      <c r="D1226" s="105" t="s">
        <v>118</v>
      </c>
      <c r="E1226" s="123" t="s">
        <v>606</v>
      </c>
      <c r="F1226" s="91" t="s">
        <v>51</v>
      </c>
      <c r="G1226" s="202">
        <f>G1227</f>
        <v>0</v>
      </c>
      <c r="H1226" s="202">
        <f>H1227</f>
        <v>0</v>
      </c>
      <c r="I1226" s="102"/>
      <c r="AL1226" s="100"/>
      <c r="AM1226" s="100"/>
    </row>
    <row r="1227" spans="1:39" ht="56.25" hidden="1" x14ac:dyDescent="0.3">
      <c r="A1227" s="124" t="s">
        <v>267</v>
      </c>
      <c r="B1227" s="156">
        <v>936</v>
      </c>
      <c r="C1227" s="105" t="s">
        <v>185</v>
      </c>
      <c r="D1227" s="105" t="s">
        <v>118</v>
      </c>
      <c r="E1227" s="123" t="s">
        <v>606</v>
      </c>
      <c r="F1227" s="175">
        <v>600</v>
      </c>
      <c r="G1227" s="202">
        <v>0</v>
      </c>
      <c r="H1227" s="202">
        <v>0</v>
      </c>
      <c r="I1227" s="102"/>
      <c r="K1227" s="100">
        <v>364.363</v>
      </c>
      <c r="AI1227" s="100">
        <v>0</v>
      </c>
      <c r="AL1227" s="100"/>
      <c r="AM1227" s="100"/>
    </row>
    <row r="1228" spans="1:39" ht="150" hidden="1" x14ac:dyDescent="0.3">
      <c r="A1228" s="124" t="s">
        <v>611</v>
      </c>
      <c r="B1228" s="156">
        <v>936</v>
      </c>
      <c r="C1228" s="105" t="s">
        <v>185</v>
      </c>
      <c r="D1228" s="105" t="s">
        <v>118</v>
      </c>
      <c r="E1228" s="123" t="s">
        <v>607</v>
      </c>
      <c r="F1228" s="91" t="s">
        <v>51</v>
      </c>
      <c r="G1228" s="202">
        <f>G1229</f>
        <v>0</v>
      </c>
      <c r="H1228" s="202">
        <f>H1229</f>
        <v>0</v>
      </c>
      <c r="I1228" s="102"/>
      <c r="AL1228" s="100"/>
      <c r="AM1228" s="100"/>
    </row>
    <row r="1229" spans="1:39" ht="56.25" hidden="1" x14ac:dyDescent="0.3">
      <c r="A1229" s="124" t="s">
        <v>267</v>
      </c>
      <c r="B1229" s="156">
        <v>936</v>
      </c>
      <c r="C1229" s="105" t="s">
        <v>185</v>
      </c>
      <c r="D1229" s="105" t="s">
        <v>118</v>
      </c>
      <c r="E1229" s="123" t="s">
        <v>607</v>
      </c>
      <c r="F1229" s="175">
        <v>600</v>
      </c>
      <c r="G1229" s="202">
        <v>0</v>
      </c>
      <c r="H1229" s="202">
        <v>0</v>
      </c>
      <c r="I1229" s="102"/>
      <c r="K1229" s="100">
        <v>240.745</v>
      </c>
      <c r="AI1229" s="100">
        <v>0</v>
      </c>
      <c r="AL1229" s="100"/>
      <c r="AM1229" s="100"/>
    </row>
    <row r="1230" spans="1:39" hidden="1" x14ac:dyDescent="0.3">
      <c r="A1230" s="124" t="s">
        <v>63</v>
      </c>
      <c r="B1230" s="156">
        <v>936</v>
      </c>
      <c r="C1230" s="105" t="s">
        <v>185</v>
      </c>
      <c r="D1230" s="105" t="s">
        <v>118</v>
      </c>
      <c r="E1230" s="91" t="s">
        <v>254</v>
      </c>
      <c r="F1230" s="91" t="s">
        <v>51</v>
      </c>
      <c r="G1230" s="202">
        <f>G1231+G1233</f>
        <v>0</v>
      </c>
      <c r="H1230" s="202">
        <f>H1231+H1233</f>
        <v>0</v>
      </c>
      <c r="I1230" s="102"/>
      <c r="AL1230" s="100"/>
      <c r="AM1230" s="100"/>
    </row>
    <row r="1231" spans="1:39" ht="112.5" hidden="1" x14ac:dyDescent="0.3">
      <c r="A1231" s="124" t="s">
        <v>612</v>
      </c>
      <c r="B1231" s="156">
        <v>936</v>
      </c>
      <c r="C1231" s="105" t="s">
        <v>185</v>
      </c>
      <c r="D1231" s="105" t="s">
        <v>118</v>
      </c>
      <c r="E1231" s="123" t="s">
        <v>608</v>
      </c>
      <c r="F1231" s="91" t="s">
        <v>51</v>
      </c>
      <c r="G1231" s="202">
        <f>G1232</f>
        <v>0</v>
      </c>
      <c r="H1231" s="202">
        <f>H1232</f>
        <v>0</v>
      </c>
      <c r="I1231" s="102"/>
      <c r="AL1231" s="100"/>
      <c r="AM1231" s="100"/>
    </row>
    <row r="1232" spans="1:39" ht="56.25" hidden="1" x14ac:dyDescent="0.3">
      <c r="A1232" s="124" t="s">
        <v>267</v>
      </c>
      <c r="B1232" s="156">
        <v>936</v>
      </c>
      <c r="C1232" s="105" t="s">
        <v>185</v>
      </c>
      <c r="D1232" s="105" t="s">
        <v>118</v>
      </c>
      <c r="E1232" s="123" t="s">
        <v>608</v>
      </c>
      <c r="F1232" s="175">
        <v>600</v>
      </c>
      <c r="G1232" s="202">
        <v>0</v>
      </c>
      <c r="H1232" s="202">
        <v>0</v>
      </c>
      <c r="I1232" s="102"/>
      <c r="K1232" s="100">
        <v>245</v>
      </c>
      <c r="AI1232" s="100">
        <v>0</v>
      </c>
      <c r="AL1232" s="100"/>
      <c r="AM1232" s="100"/>
    </row>
    <row r="1233" spans="1:54" ht="131.25" hidden="1" x14ac:dyDescent="0.3">
      <c r="A1233" s="124" t="s">
        <v>613</v>
      </c>
      <c r="B1233" s="156">
        <v>936</v>
      </c>
      <c r="C1233" s="105" t="s">
        <v>185</v>
      </c>
      <c r="D1233" s="105" t="s">
        <v>118</v>
      </c>
      <c r="E1233" s="123" t="s">
        <v>609</v>
      </c>
      <c r="F1233" s="91" t="s">
        <v>51</v>
      </c>
      <c r="G1233" s="202">
        <f>G1234</f>
        <v>0</v>
      </c>
      <c r="H1233" s="202">
        <f>H1234</f>
        <v>0</v>
      </c>
      <c r="I1233" s="102"/>
      <c r="AL1233" s="100"/>
      <c r="AM1233" s="100"/>
    </row>
    <row r="1234" spans="1:54" ht="56.25" hidden="1" x14ac:dyDescent="0.3">
      <c r="A1234" s="124" t="s">
        <v>267</v>
      </c>
      <c r="B1234" s="156">
        <v>936</v>
      </c>
      <c r="C1234" s="105" t="s">
        <v>185</v>
      </c>
      <c r="D1234" s="105" t="s">
        <v>118</v>
      </c>
      <c r="E1234" s="123" t="s">
        <v>609</v>
      </c>
      <c r="F1234" s="175">
        <v>600</v>
      </c>
      <c r="G1234" s="202">
        <v>0</v>
      </c>
      <c r="H1234" s="202">
        <v>0</v>
      </c>
      <c r="I1234" s="102"/>
      <c r="K1234" s="100">
        <v>228</v>
      </c>
      <c r="AL1234" s="100"/>
      <c r="AM1234" s="100"/>
    </row>
    <row r="1235" spans="1:54" ht="37.5" x14ac:dyDescent="0.3">
      <c r="A1235" s="88" t="s">
        <v>869</v>
      </c>
      <c r="B1235" s="246">
        <v>936</v>
      </c>
      <c r="C1235" s="221" t="s">
        <v>185</v>
      </c>
      <c r="D1235" s="221" t="s">
        <v>118</v>
      </c>
      <c r="E1235" s="11" t="s">
        <v>870</v>
      </c>
      <c r="F1235" s="10" t="s">
        <v>51</v>
      </c>
      <c r="G1235" s="202">
        <f>G1236</f>
        <v>800</v>
      </c>
      <c r="H1235" s="202">
        <f>H1236</f>
        <v>800</v>
      </c>
      <c r="I1235" s="102"/>
      <c r="AL1235" s="100"/>
      <c r="AM1235" s="100"/>
    </row>
    <row r="1236" spans="1:54" ht="56.25" x14ac:dyDescent="0.3">
      <c r="A1236" s="124" t="s">
        <v>267</v>
      </c>
      <c r="B1236" s="246">
        <v>936</v>
      </c>
      <c r="C1236" s="221" t="s">
        <v>185</v>
      </c>
      <c r="D1236" s="221" t="s">
        <v>118</v>
      </c>
      <c r="E1236" s="11" t="s">
        <v>870</v>
      </c>
      <c r="F1236" s="10" t="s">
        <v>264</v>
      </c>
      <c r="G1236" s="202">
        <f>866-66</f>
        <v>800</v>
      </c>
      <c r="H1236" s="202">
        <f>866-66</f>
        <v>800</v>
      </c>
      <c r="I1236" s="102"/>
      <c r="AL1236" s="100"/>
      <c r="AM1236" s="100"/>
    </row>
    <row r="1237" spans="1:54" ht="37.5" x14ac:dyDescent="0.3">
      <c r="A1237" s="119" t="s">
        <v>189</v>
      </c>
      <c r="B1237" s="146">
        <v>936</v>
      </c>
      <c r="C1237" s="146">
        <v>13</v>
      </c>
      <c r="D1237" s="114" t="s">
        <v>116</v>
      </c>
      <c r="E1237" s="146" t="s">
        <v>50</v>
      </c>
      <c r="F1237" s="114" t="s">
        <v>51</v>
      </c>
      <c r="G1237" s="202">
        <f t="shared" ref="G1237:H1240" si="58">G1238</f>
        <v>17367.900000000001</v>
      </c>
      <c r="H1237" s="202">
        <f t="shared" si="58"/>
        <v>12867.9</v>
      </c>
      <c r="I1237" s="102"/>
      <c r="AL1237" s="100"/>
      <c r="AM1237" s="100"/>
    </row>
    <row r="1238" spans="1:54" ht="56.25" x14ac:dyDescent="0.3">
      <c r="A1238" s="131" t="s">
        <v>16</v>
      </c>
      <c r="B1238" s="156">
        <v>936</v>
      </c>
      <c r="C1238" s="156">
        <v>13</v>
      </c>
      <c r="D1238" s="91" t="s">
        <v>116</v>
      </c>
      <c r="E1238" s="123" t="s">
        <v>32</v>
      </c>
      <c r="F1238" s="91" t="s">
        <v>51</v>
      </c>
      <c r="G1238" s="202">
        <f t="shared" si="58"/>
        <v>17367.900000000001</v>
      </c>
      <c r="H1238" s="202">
        <f t="shared" si="58"/>
        <v>12867.9</v>
      </c>
      <c r="I1238" s="102"/>
      <c r="AL1238" s="100"/>
      <c r="AM1238" s="100"/>
    </row>
    <row r="1239" spans="1:54" x14ac:dyDescent="0.3">
      <c r="A1239" s="124" t="s">
        <v>417</v>
      </c>
      <c r="B1239" s="156">
        <v>936</v>
      </c>
      <c r="C1239" s="156">
        <v>13</v>
      </c>
      <c r="D1239" s="91" t="s">
        <v>116</v>
      </c>
      <c r="E1239" s="123" t="s">
        <v>45</v>
      </c>
      <c r="F1239" s="91" t="s">
        <v>51</v>
      </c>
      <c r="G1239" s="202">
        <f t="shared" si="58"/>
        <v>17367.900000000001</v>
      </c>
      <c r="H1239" s="202">
        <f t="shared" si="58"/>
        <v>12867.9</v>
      </c>
      <c r="I1239" s="102"/>
      <c r="AL1239" s="100"/>
      <c r="AM1239" s="100"/>
    </row>
    <row r="1240" spans="1:54" x14ac:dyDescent="0.3">
      <c r="A1240" s="124" t="s">
        <v>190</v>
      </c>
      <c r="B1240" s="156">
        <v>936</v>
      </c>
      <c r="C1240" s="91" t="s">
        <v>191</v>
      </c>
      <c r="D1240" s="105" t="s">
        <v>116</v>
      </c>
      <c r="E1240" s="91" t="s">
        <v>194</v>
      </c>
      <c r="F1240" s="91" t="s">
        <v>51</v>
      </c>
      <c r="G1240" s="202">
        <f t="shared" si="58"/>
        <v>17367.900000000001</v>
      </c>
      <c r="H1240" s="202">
        <f t="shared" si="58"/>
        <v>12867.9</v>
      </c>
      <c r="I1240" s="102"/>
      <c r="AL1240" s="100"/>
      <c r="AM1240" s="100"/>
    </row>
    <row r="1241" spans="1:54" ht="37.5" x14ac:dyDescent="0.3">
      <c r="A1241" s="124" t="s">
        <v>192</v>
      </c>
      <c r="B1241" s="156">
        <v>936</v>
      </c>
      <c r="C1241" s="91" t="s">
        <v>191</v>
      </c>
      <c r="D1241" s="105" t="s">
        <v>116</v>
      </c>
      <c r="E1241" s="91" t="s">
        <v>194</v>
      </c>
      <c r="F1241" s="91" t="s">
        <v>193</v>
      </c>
      <c r="G1241" s="202">
        <f>4500+12867.9</f>
        <v>17367.900000000001</v>
      </c>
      <c r="H1241" s="202">
        <v>12867.9</v>
      </c>
      <c r="I1241" s="102"/>
      <c r="AL1241" s="100"/>
      <c r="AM1241" s="100"/>
      <c r="BA1241" s="227">
        <v>10584.4</v>
      </c>
      <c r="BB1241" s="223">
        <v>16429.099999999999</v>
      </c>
    </row>
    <row r="1242" spans="1:54" ht="56.25" x14ac:dyDescent="0.3">
      <c r="A1242" s="115" t="s">
        <v>744</v>
      </c>
      <c r="B1242" s="240" t="s">
        <v>733</v>
      </c>
      <c r="C1242" s="242" t="s">
        <v>113</v>
      </c>
      <c r="D1242" s="242" t="s">
        <v>113</v>
      </c>
      <c r="E1242" s="242" t="s">
        <v>50</v>
      </c>
      <c r="F1242" s="242" t="s">
        <v>51</v>
      </c>
      <c r="G1242" s="241">
        <f t="shared" ref="G1242:H1245" si="59">G1243</f>
        <v>1100</v>
      </c>
      <c r="H1242" s="241">
        <f t="shared" si="59"/>
        <v>1100</v>
      </c>
      <c r="I1242" s="203">
        <f>SUM(I9:I1225)</f>
        <v>27471.9</v>
      </c>
      <c r="J1242" s="204">
        <f>SUM(J9:J1225)</f>
        <v>1.0331291377951857E-11</v>
      </c>
      <c r="K1242" s="204">
        <f>SUM(K9:K1234)</f>
        <v>21018.023000000005</v>
      </c>
      <c r="L1242" s="205">
        <f>SUM(L9:L1234)</f>
        <v>853</v>
      </c>
      <c r="M1242" s="205">
        <f>SUM(M9:M1234)</f>
        <v>30031.9</v>
      </c>
      <c r="U1242" s="100">
        <f>SUM(U9:U1234)</f>
        <v>33574.6</v>
      </c>
      <c r="V1242" s="100">
        <f>SUM(V9:V1234)</f>
        <v>2020</v>
      </c>
      <c r="W1242" s="100">
        <f>SUM(W9:W1234)</f>
        <v>138.60000000000002</v>
      </c>
      <c r="X1242" s="100">
        <f>SUM(X9:X1234)</f>
        <v>0</v>
      </c>
      <c r="AA1242" s="100">
        <f t="shared" ref="AA1242:AG1242" si="60">SUM(AA9:AA1234)</f>
        <v>6009.9999999999991</v>
      </c>
      <c r="AB1242" s="100">
        <f t="shared" si="60"/>
        <v>0</v>
      </c>
      <c r="AC1242" s="103">
        <f t="shared" si="60"/>
        <v>1.4210854715202004E-14</v>
      </c>
      <c r="AD1242" s="103">
        <f t="shared" si="60"/>
        <v>0</v>
      </c>
      <c r="AE1242" s="100">
        <f t="shared" si="60"/>
        <v>15752.668999999989</v>
      </c>
      <c r="AF1242" s="103">
        <f t="shared" si="60"/>
        <v>-10494.350000000004</v>
      </c>
      <c r="AG1242" s="100">
        <f t="shared" si="60"/>
        <v>0</v>
      </c>
    </row>
    <row r="1243" spans="1:54" x14ac:dyDescent="0.3">
      <c r="A1243" s="113" t="s">
        <v>115</v>
      </c>
      <c r="B1243" s="118">
        <v>947</v>
      </c>
      <c r="C1243" s="114" t="s">
        <v>116</v>
      </c>
      <c r="D1243" s="114" t="s">
        <v>113</v>
      </c>
      <c r="E1243" s="114" t="s">
        <v>50</v>
      </c>
      <c r="F1243" s="114" t="s">
        <v>51</v>
      </c>
      <c r="G1243" s="93">
        <f t="shared" si="59"/>
        <v>1100</v>
      </c>
      <c r="H1243" s="93">
        <f t="shared" si="59"/>
        <v>1100</v>
      </c>
      <c r="I1243" s="100">
        <f>SUM(I433:I1234)</f>
        <v>24314.7</v>
      </c>
      <c r="J1243" s="100">
        <f>SUM(J433:J1234)</f>
        <v>-37347.3364</v>
      </c>
      <c r="K1243" s="100">
        <f>SUM(K433:K1234)</f>
        <v>17058.258000000002</v>
      </c>
      <c r="R1243" s="103">
        <f>SUM(R434:R1234)</f>
        <v>20753.358640000002</v>
      </c>
      <c r="S1243" s="103">
        <f>SUM(S434:S1234)</f>
        <v>-225.15999999999997</v>
      </c>
      <c r="T1243" s="103">
        <f>R1243+S1243</f>
        <v>20528.198640000002</v>
      </c>
      <c r="U1243" s="100">
        <f>SUM(U433:U1234)</f>
        <v>30015</v>
      </c>
    </row>
    <row r="1244" spans="1:54" ht="56.25" x14ac:dyDescent="0.3">
      <c r="A1244" s="119" t="s">
        <v>119</v>
      </c>
      <c r="B1244" s="118">
        <v>947</v>
      </c>
      <c r="C1244" s="114" t="s">
        <v>116</v>
      </c>
      <c r="D1244" s="114" t="s">
        <v>120</v>
      </c>
      <c r="E1244" s="114" t="s">
        <v>50</v>
      </c>
      <c r="F1244" s="120" t="s">
        <v>51</v>
      </c>
      <c r="G1244" s="93">
        <f t="shared" si="59"/>
        <v>1100</v>
      </c>
      <c r="H1244" s="93">
        <f t="shared" si="59"/>
        <v>1100</v>
      </c>
      <c r="I1244" s="102">
        <f>SUM(I19:I328)</f>
        <v>2608.1999999999998</v>
      </c>
      <c r="J1244" s="102">
        <f>SUM(J19:J328)</f>
        <v>37347.336400000007</v>
      </c>
      <c r="K1244" s="102">
        <f>SUM(K19:K328)</f>
        <v>2661.7539999999999</v>
      </c>
      <c r="R1244" s="100">
        <f>SUM(R20:R328)</f>
        <v>1322.9413600000003</v>
      </c>
      <c r="S1244" s="100">
        <f>SUM(S20:S328)</f>
        <v>135.16</v>
      </c>
      <c r="T1244" s="103">
        <f t="shared" ref="T1244:T1246" si="61">R1244+S1244</f>
        <v>1458.1013600000003</v>
      </c>
      <c r="U1244" s="100">
        <f>SUM(U20:U328)</f>
        <v>3359.6</v>
      </c>
    </row>
    <row r="1245" spans="1:54" ht="56.25" x14ac:dyDescent="0.3">
      <c r="A1245" s="121" t="s">
        <v>421</v>
      </c>
      <c r="B1245" s="122">
        <v>947</v>
      </c>
      <c r="C1245" s="91" t="s">
        <v>116</v>
      </c>
      <c r="D1245" s="91" t="s">
        <v>120</v>
      </c>
      <c r="E1245" s="123" t="s">
        <v>403</v>
      </c>
      <c r="F1245" s="91" t="s">
        <v>51</v>
      </c>
      <c r="G1245" s="74">
        <f t="shared" si="59"/>
        <v>1100</v>
      </c>
      <c r="H1245" s="74">
        <f t="shared" si="59"/>
        <v>1100</v>
      </c>
      <c r="I1245" s="102">
        <f>SUM(I335:I385)</f>
        <v>0</v>
      </c>
      <c r="J1245" s="102">
        <f>SUM(J335:J385)</f>
        <v>0</v>
      </c>
      <c r="K1245" s="102">
        <f>SUM(K335:K385)</f>
        <v>1100</v>
      </c>
      <c r="R1245" s="100">
        <f>SUM(R336:R385)</f>
        <v>0</v>
      </c>
      <c r="S1245" s="100">
        <f>SUM(S336:S385)</f>
        <v>50</v>
      </c>
      <c r="T1245" s="103">
        <f t="shared" si="61"/>
        <v>50</v>
      </c>
    </row>
    <row r="1246" spans="1:54" ht="75" x14ac:dyDescent="0.3">
      <c r="A1246" s="124" t="s">
        <v>104</v>
      </c>
      <c r="B1246" s="122">
        <v>947</v>
      </c>
      <c r="C1246" s="91" t="s">
        <v>116</v>
      </c>
      <c r="D1246" s="91" t="s">
        <v>120</v>
      </c>
      <c r="E1246" s="123" t="s">
        <v>511</v>
      </c>
      <c r="F1246" s="91" t="s">
        <v>51</v>
      </c>
      <c r="G1246" s="74">
        <f>G1247+G1249</f>
        <v>1100</v>
      </c>
      <c r="H1246" s="74">
        <f>H1247+H1249</f>
        <v>1100</v>
      </c>
      <c r="I1246" s="102">
        <f>SUM(I387:I426)</f>
        <v>549</v>
      </c>
      <c r="J1246" s="102">
        <f>SUM(J387:J426)</f>
        <v>0</v>
      </c>
      <c r="K1246" s="102">
        <f>SUM(K387:K426)</f>
        <v>198.011</v>
      </c>
      <c r="R1246" s="100">
        <f>SUM(R386:R426)</f>
        <v>0</v>
      </c>
      <c r="S1246" s="100">
        <f>SUM(S386:S426)</f>
        <v>40</v>
      </c>
      <c r="T1246" s="103">
        <f t="shared" si="61"/>
        <v>40</v>
      </c>
      <c r="U1246" s="100">
        <f>SUM(U387:U426)</f>
        <v>200</v>
      </c>
    </row>
    <row r="1247" spans="1:54" ht="37.5" hidden="1" x14ac:dyDescent="0.3">
      <c r="A1247" s="124" t="s">
        <v>106</v>
      </c>
      <c r="B1247" s="122">
        <v>903</v>
      </c>
      <c r="C1247" s="91" t="s">
        <v>116</v>
      </c>
      <c r="D1247" s="91" t="s">
        <v>120</v>
      </c>
      <c r="E1247" s="123" t="s">
        <v>404</v>
      </c>
      <c r="F1247" s="123" t="s">
        <v>51</v>
      </c>
      <c r="G1247" s="74">
        <f>G1248</f>
        <v>0</v>
      </c>
      <c r="H1247" s="74">
        <f>H1248</f>
        <v>0</v>
      </c>
      <c r="R1247" s="103">
        <f>SUM(R1243:R1246)</f>
        <v>22076.300000000003</v>
      </c>
      <c r="S1247" s="103">
        <f>SUM(S1243:S1246)</f>
        <v>0</v>
      </c>
      <c r="T1247" s="103">
        <f>SUM(T1243:T1246)</f>
        <v>22076.300000000003</v>
      </c>
      <c r="U1247" s="100">
        <f>SUM(U1243:U1246)</f>
        <v>33574.6</v>
      </c>
    </row>
    <row r="1248" spans="1:54" ht="93.75" hidden="1" x14ac:dyDescent="0.3">
      <c r="A1248" s="124" t="s">
        <v>57</v>
      </c>
      <c r="B1248" s="122">
        <v>903</v>
      </c>
      <c r="C1248" s="91" t="s">
        <v>116</v>
      </c>
      <c r="D1248" s="91" t="s">
        <v>120</v>
      </c>
      <c r="E1248" s="123" t="s">
        <v>404</v>
      </c>
      <c r="F1248" s="123" t="s">
        <v>58</v>
      </c>
      <c r="G1248" s="74">
        <v>0</v>
      </c>
      <c r="H1248" s="74">
        <v>0</v>
      </c>
    </row>
    <row r="1249" spans="1:56" ht="37.5" x14ac:dyDescent="0.3">
      <c r="A1249" s="125" t="s">
        <v>377</v>
      </c>
      <c r="B1249" s="122">
        <v>947</v>
      </c>
      <c r="C1249" s="91" t="s">
        <v>116</v>
      </c>
      <c r="D1249" s="91" t="s">
        <v>120</v>
      </c>
      <c r="E1249" s="123" t="s">
        <v>404</v>
      </c>
      <c r="F1249" s="123" t="s">
        <v>51</v>
      </c>
      <c r="G1249" s="74">
        <f>G1250</f>
        <v>1100</v>
      </c>
      <c r="H1249" s="74">
        <f>H1250</f>
        <v>1100</v>
      </c>
    </row>
    <row r="1250" spans="1:56" ht="93.75" x14ac:dyDescent="0.3">
      <c r="A1250" s="124" t="s">
        <v>57</v>
      </c>
      <c r="B1250" s="122">
        <v>947</v>
      </c>
      <c r="C1250" s="91" t="s">
        <v>116</v>
      </c>
      <c r="D1250" s="91" t="s">
        <v>120</v>
      </c>
      <c r="E1250" s="123" t="s">
        <v>404</v>
      </c>
      <c r="F1250" s="123" t="s">
        <v>58</v>
      </c>
      <c r="G1250" s="74">
        <v>1100</v>
      </c>
      <c r="H1250" s="74">
        <v>1100</v>
      </c>
      <c r="AI1250" s="100">
        <v>793.1</v>
      </c>
      <c r="AL1250" s="102">
        <v>793.1</v>
      </c>
      <c r="AM1250" s="102">
        <v>793.1</v>
      </c>
      <c r="AR1250" s="101">
        <v>996.8</v>
      </c>
      <c r="AT1250" s="101">
        <v>996.8</v>
      </c>
      <c r="BA1250" s="227">
        <v>1025.7</v>
      </c>
      <c r="BB1250" s="223">
        <v>1025.7</v>
      </c>
    </row>
    <row r="1251" spans="1:56" x14ac:dyDescent="0.3">
      <c r="E1251" s="191"/>
      <c r="AI1251" s="100">
        <f>SUM(AI9:AI1250)</f>
        <v>910922.44999999972</v>
      </c>
      <c r="AL1251" s="102">
        <f>SUM(AL9:AL1250)</f>
        <v>766328.36</v>
      </c>
      <c r="AM1251" s="102">
        <f>SUM(AM9:AM1250)</f>
        <v>772315.36999999988</v>
      </c>
      <c r="AN1251" s="100">
        <f>SUM(AN8:AN1250)</f>
        <v>4538.0999999999995</v>
      </c>
      <c r="AO1251" s="103">
        <f>SUM(AO8:AO1250)</f>
        <v>1.2309597785531423E-14</v>
      </c>
      <c r="AP1251" s="103">
        <f>SUM(AP8:AP1250)</f>
        <v>2267.5</v>
      </c>
      <c r="AQ1251" s="103">
        <f>SUM(AQ8:AQ1250)</f>
        <v>2.5396351688300456E-15</v>
      </c>
      <c r="AR1251" s="206">
        <f>SUM(AR9:AR1250)</f>
        <v>435350.57</v>
      </c>
      <c r="AS1251" s="206">
        <f>SUM(AS9:AS1250)</f>
        <v>398775.32999999996</v>
      </c>
      <c r="AT1251" s="206">
        <f>SUM(AT9:AT1250)</f>
        <v>440341.06999999995</v>
      </c>
      <c r="AU1251" s="206">
        <f>SUM(AU9:AU1250)</f>
        <v>376988.23000000004</v>
      </c>
      <c r="AW1251" s="219">
        <f>SUM(AW9:AW1250)</f>
        <v>1153.4000000000001</v>
      </c>
      <c r="AX1251" s="219">
        <f t="shared" ref="AX1251:BB1251" si="62">SUM(AX9:AX1250)</f>
        <v>2536.1999999999998</v>
      </c>
      <c r="AY1251" s="219">
        <f t="shared" si="62"/>
        <v>1153.4000000000001</v>
      </c>
      <c r="AZ1251" s="219">
        <f t="shared" si="62"/>
        <v>1708.9999999999998</v>
      </c>
      <c r="BA1251" s="236">
        <f t="shared" si="62"/>
        <v>455781.78000000009</v>
      </c>
      <c r="BB1251" s="236">
        <f t="shared" si="62"/>
        <v>461955.18000000011</v>
      </c>
      <c r="BC1251" s="236">
        <f>SUM(BC9:BC1250)</f>
        <v>402082.46000000008</v>
      </c>
      <c r="BD1251" s="236">
        <f>SUM(BD9:BD1250)</f>
        <v>406711.16000000003</v>
      </c>
    </row>
    <row r="1252" spans="1:56" x14ac:dyDescent="0.3">
      <c r="E1252" s="191"/>
      <c r="AS1252" s="206">
        <f>AR1251+AS1251</f>
        <v>834125.89999999991</v>
      </c>
      <c r="AU1252" s="206">
        <f>AT1251+AU1251</f>
        <v>817329.3</v>
      </c>
      <c r="BC1252" s="236">
        <f>BA1251+BC1251</f>
        <v>857864.24000000022</v>
      </c>
      <c r="BD1252" s="237">
        <f>BB1251+BD1251</f>
        <v>868666.34000000008</v>
      </c>
    </row>
    <row r="1253" spans="1:56" x14ac:dyDescent="0.3">
      <c r="E1253" s="191"/>
      <c r="BC1253" s="236">
        <f>857864.24-BC1252</f>
        <v>0</v>
      </c>
      <c r="BD1253" s="237">
        <f>868666.34-BD1252</f>
        <v>0</v>
      </c>
    </row>
    <row r="1254" spans="1:56" x14ac:dyDescent="0.3">
      <c r="E1254" s="191"/>
    </row>
    <row r="1255" spans="1:56" x14ac:dyDescent="0.3">
      <c r="E1255" s="191"/>
    </row>
    <row r="1256" spans="1:56" x14ac:dyDescent="0.3">
      <c r="E1256" s="191"/>
    </row>
    <row r="1257" spans="1:56" x14ac:dyDescent="0.3">
      <c r="E1257" s="191"/>
    </row>
    <row r="1258" spans="1:56" x14ac:dyDescent="0.3">
      <c r="E1258" s="191"/>
      <c r="AL1258" s="100"/>
      <c r="AM1258" s="100"/>
    </row>
    <row r="1259" spans="1:56" x14ac:dyDescent="0.3">
      <c r="E1259" s="191"/>
      <c r="AL1259" s="100"/>
      <c r="AM1259" s="100"/>
    </row>
    <row r="1260" spans="1:56" x14ac:dyDescent="0.3">
      <c r="E1260" s="191"/>
      <c r="AL1260" s="100"/>
      <c r="AM1260" s="100"/>
    </row>
    <row r="1261" spans="1:56" x14ac:dyDescent="0.3">
      <c r="E1261" s="191"/>
      <c r="AL1261" s="100"/>
      <c r="AM1261" s="100"/>
    </row>
    <row r="1262" spans="1:56" x14ac:dyDescent="0.3">
      <c r="E1262" s="191"/>
      <c r="AL1262" s="100"/>
      <c r="AM1262" s="100"/>
    </row>
    <row r="1263" spans="1:56" x14ac:dyDescent="0.3">
      <c r="E1263" s="191"/>
      <c r="AL1263" s="100"/>
      <c r="AM1263" s="100"/>
    </row>
    <row r="1264" spans="1:56" x14ac:dyDescent="0.3">
      <c r="E1264" s="191"/>
      <c r="AL1264" s="100"/>
      <c r="AM1264" s="100"/>
    </row>
    <row r="1265" spans="5:39" x14ac:dyDescent="0.3">
      <c r="E1265" s="191"/>
      <c r="AL1265" s="100"/>
      <c r="AM1265" s="100"/>
    </row>
    <row r="1266" spans="5:39" x14ac:dyDescent="0.3">
      <c r="E1266" s="191"/>
      <c r="AL1266" s="100"/>
      <c r="AM1266" s="100"/>
    </row>
    <row r="1267" spans="5:39" x14ac:dyDescent="0.3">
      <c r="E1267" s="191"/>
      <c r="AL1267" s="100"/>
      <c r="AM1267" s="100"/>
    </row>
    <row r="1268" spans="5:39" x14ac:dyDescent="0.3">
      <c r="E1268" s="191"/>
      <c r="AL1268" s="100"/>
      <c r="AM1268" s="100"/>
    </row>
    <row r="1269" spans="5:39" x14ac:dyDescent="0.3">
      <c r="E1269" s="191"/>
      <c r="AL1269" s="100"/>
      <c r="AM1269" s="100"/>
    </row>
    <row r="1270" spans="5:39" x14ac:dyDescent="0.3">
      <c r="E1270" s="191"/>
      <c r="AL1270" s="100"/>
      <c r="AM1270" s="100"/>
    </row>
    <row r="1271" spans="5:39" x14ac:dyDescent="0.3">
      <c r="E1271" s="191"/>
      <c r="AL1271" s="100"/>
      <c r="AM1271" s="100"/>
    </row>
    <row r="1272" spans="5:39" x14ac:dyDescent="0.3">
      <c r="E1272" s="191"/>
      <c r="AL1272" s="100"/>
      <c r="AM1272" s="100"/>
    </row>
    <row r="1273" spans="5:39" x14ac:dyDescent="0.3">
      <c r="E1273" s="191"/>
      <c r="AL1273" s="100"/>
      <c r="AM1273" s="100"/>
    </row>
    <row r="1274" spans="5:39" x14ac:dyDescent="0.3">
      <c r="E1274" s="191"/>
      <c r="AL1274" s="100"/>
      <c r="AM1274" s="100"/>
    </row>
    <row r="1275" spans="5:39" x14ac:dyDescent="0.3">
      <c r="E1275" s="191"/>
      <c r="AL1275" s="100"/>
      <c r="AM1275" s="100"/>
    </row>
    <row r="1276" spans="5:39" x14ac:dyDescent="0.3">
      <c r="E1276" s="191"/>
      <c r="AL1276" s="100"/>
      <c r="AM1276" s="100"/>
    </row>
    <row r="1277" spans="5:39" x14ac:dyDescent="0.3">
      <c r="E1277" s="191"/>
      <c r="AL1277" s="100"/>
      <c r="AM1277" s="100"/>
    </row>
    <row r="1278" spans="5:39" x14ac:dyDescent="0.3">
      <c r="E1278" s="191"/>
      <c r="AL1278" s="100"/>
      <c r="AM1278" s="100"/>
    </row>
    <row r="1279" spans="5:39" x14ac:dyDescent="0.3">
      <c r="E1279" s="191"/>
      <c r="AL1279" s="100"/>
      <c r="AM1279" s="100"/>
    </row>
    <row r="1280" spans="5:39" x14ac:dyDescent="0.3">
      <c r="E1280" s="191"/>
      <c r="AL1280" s="100"/>
      <c r="AM1280" s="100"/>
    </row>
    <row r="1281" spans="5:39" x14ac:dyDescent="0.3">
      <c r="E1281" s="191"/>
      <c r="AL1281" s="100"/>
      <c r="AM1281" s="100"/>
    </row>
    <row r="1282" spans="5:39" x14ac:dyDescent="0.3">
      <c r="E1282" s="191"/>
      <c r="AL1282" s="100"/>
      <c r="AM1282" s="100"/>
    </row>
    <row r="1283" spans="5:39" x14ac:dyDescent="0.3">
      <c r="E1283" s="191"/>
      <c r="AL1283" s="100"/>
      <c r="AM1283" s="100"/>
    </row>
    <row r="1284" spans="5:39" x14ac:dyDescent="0.3">
      <c r="E1284" s="191"/>
      <c r="AL1284" s="100"/>
      <c r="AM1284" s="100"/>
    </row>
    <row r="1285" spans="5:39" x14ac:dyDescent="0.3">
      <c r="E1285" s="191"/>
      <c r="AL1285" s="100"/>
      <c r="AM1285" s="100"/>
    </row>
    <row r="1286" spans="5:39" x14ac:dyDescent="0.3">
      <c r="E1286" s="191"/>
      <c r="AL1286" s="100"/>
      <c r="AM1286" s="100"/>
    </row>
    <row r="1287" spans="5:39" x14ac:dyDescent="0.3">
      <c r="E1287" s="191"/>
      <c r="AL1287" s="100"/>
      <c r="AM1287" s="100"/>
    </row>
    <row r="1288" spans="5:39" x14ac:dyDescent="0.3">
      <c r="E1288" s="191"/>
      <c r="AL1288" s="100"/>
      <c r="AM1288" s="100"/>
    </row>
    <row r="1289" spans="5:39" x14ac:dyDescent="0.3">
      <c r="E1289" s="191"/>
      <c r="AL1289" s="100"/>
      <c r="AM1289" s="100"/>
    </row>
    <row r="1290" spans="5:39" x14ac:dyDescent="0.3">
      <c r="E1290" s="191"/>
      <c r="AL1290" s="100"/>
      <c r="AM1290" s="100"/>
    </row>
    <row r="1291" spans="5:39" x14ac:dyDescent="0.3">
      <c r="E1291" s="191"/>
      <c r="AL1291" s="100"/>
      <c r="AM1291" s="100"/>
    </row>
    <row r="1292" spans="5:39" x14ac:dyDescent="0.3">
      <c r="E1292" s="191"/>
      <c r="AL1292" s="100"/>
      <c r="AM1292" s="100"/>
    </row>
    <row r="1293" spans="5:39" x14ac:dyDescent="0.3">
      <c r="E1293" s="191"/>
      <c r="AL1293" s="100"/>
      <c r="AM1293" s="100"/>
    </row>
    <row r="1294" spans="5:39" x14ac:dyDescent="0.3">
      <c r="E1294" s="191"/>
      <c r="AL1294" s="100"/>
      <c r="AM1294" s="100"/>
    </row>
    <row r="1295" spans="5:39" x14ac:dyDescent="0.3">
      <c r="E1295" s="191"/>
      <c r="AL1295" s="100"/>
      <c r="AM1295" s="100"/>
    </row>
    <row r="1296" spans="5:39" x14ac:dyDescent="0.3">
      <c r="E1296" s="191"/>
      <c r="AL1296" s="100"/>
      <c r="AM1296" s="100"/>
    </row>
    <row r="1297" spans="5:39" x14ac:dyDescent="0.3">
      <c r="E1297" s="191"/>
      <c r="AL1297" s="100"/>
      <c r="AM1297" s="100"/>
    </row>
    <row r="1298" spans="5:39" x14ac:dyDescent="0.3">
      <c r="E1298" s="191"/>
      <c r="AL1298" s="100"/>
      <c r="AM1298" s="100"/>
    </row>
    <row r="1299" spans="5:39" x14ac:dyDescent="0.3">
      <c r="E1299" s="191"/>
      <c r="AL1299" s="100"/>
      <c r="AM1299" s="100"/>
    </row>
    <row r="1300" spans="5:39" x14ac:dyDescent="0.3">
      <c r="E1300" s="191"/>
      <c r="AL1300" s="100"/>
      <c r="AM1300" s="100"/>
    </row>
    <row r="1301" spans="5:39" x14ac:dyDescent="0.3">
      <c r="E1301" s="191"/>
      <c r="AL1301" s="100"/>
      <c r="AM1301" s="100"/>
    </row>
    <row r="1302" spans="5:39" x14ac:dyDescent="0.3">
      <c r="E1302" s="191"/>
      <c r="AL1302" s="100"/>
      <c r="AM1302" s="100"/>
    </row>
    <row r="1303" spans="5:39" x14ac:dyDescent="0.3">
      <c r="E1303" s="191"/>
      <c r="AL1303" s="100"/>
      <c r="AM1303" s="100"/>
    </row>
    <row r="1304" spans="5:39" x14ac:dyDescent="0.3">
      <c r="E1304" s="191"/>
      <c r="AL1304" s="100"/>
      <c r="AM1304" s="100"/>
    </row>
    <row r="1305" spans="5:39" x14ac:dyDescent="0.3">
      <c r="E1305" s="191"/>
      <c r="AL1305" s="100"/>
      <c r="AM1305" s="100"/>
    </row>
    <row r="1306" spans="5:39" x14ac:dyDescent="0.3">
      <c r="E1306" s="191"/>
      <c r="AL1306" s="100"/>
      <c r="AM1306" s="100"/>
    </row>
    <row r="1307" spans="5:39" x14ac:dyDescent="0.3">
      <c r="E1307" s="191"/>
      <c r="AL1307" s="100"/>
      <c r="AM1307" s="100"/>
    </row>
    <row r="1308" spans="5:39" x14ac:dyDescent="0.3">
      <c r="E1308" s="191"/>
      <c r="AL1308" s="100"/>
      <c r="AM1308" s="100"/>
    </row>
    <row r="1309" spans="5:39" x14ac:dyDescent="0.3">
      <c r="E1309" s="191"/>
      <c r="AL1309" s="100"/>
      <c r="AM1309" s="100"/>
    </row>
    <row r="1310" spans="5:39" x14ac:dyDescent="0.3">
      <c r="E1310" s="191"/>
      <c r="AL1310" s="100"/>
      <c r="AM1310" s="100"/>
    </row>
    <row r="1311" spans="5:39" x14ac:dyDescent="0.3">
      <c r="E1311" s="191"/>
      <c r="AL1311" s="100"/>
      <c r="AM1311" s="100"/>
    </row>
    <row r="1312" spans="5:39" x14ac:dyDescent="0.3">
      <c r="E1312" s="191"/>
      <c r="AL1312" s="100"/>
      <c r="AM1312" s="100"/>
    </row>
    <row r="1313" spans="5:39" x14ac:dyDescent="0.3">
      <c r="E1313" s="191"/>
      <c r="AL1313" s="100"/>
      <c r="AM1313" s="100"/>
    </row>
    <row r="1314" spans="5:39" x14ac:dyDescent="0.3">
      <c r="E1314" s="191"/>
      <c r="AL1314" s="100"/>
      <c r="AM1314" s="100"/>
    </row>
    <row r="1315" spans="5:39" x14ac:dyDescent="0.3">
      <c r="E1315" s="191"/>
      <c r="AL1315" s="100"/>
      <c r="AM1315" s="100"/>
    </row>
    <row r="1316" spans="5:39" x14ac:dyDescent="0.3">
      <c r="E1316" s="191"/>
      <c r="AL1316" s="100"/>
      <c r="AM1316" s="100"/>
    </row>
    <row r="1317" spans="5:39" x14ac:dyDescent="0.3">
      <c r="E1317" s="191"/>
      <c r="AL1317" s="100"/>
      <c r="AM1317" s="100"/>
    </row>
    <row r="1318" spans="5:39" x14ac:dyDescent="0.3">
      <c r="E1318" s="191"/>
      <c r="AL1318" s="100"/>
      <c r="AM1318" s="100"/>
    </row>
    <row r="1319" spans="5:39" x14ac:dyDescent="0.3">
      <c r="E1319" s="191"/>
      <c r="AL1319" s="100"/>
      <c r="AM1319" s="100"/>
    </row>
    <row r="1320" spans="5:39" x14ac:dyDescent="0.3">
      <c r="E1320" s="191"/>
      <c r="AL1320" s="100"/>
      <c r="AM1320" s="100"/>
    </row>
    <row r="1321" spans="5:39" x14ac:dyDescent="0.3">
      <c r="E1321" s="191"/>
      <c r="AL1321" s="100"/>
      <c r="AM1321" s="100"/>
    </row>
    <row r="1322" spans="5:39" x14ac:dyDescent="0.3">
      <c r="E1322" s="191"/>
      <c r="AL1322" s="100"/>
      <c r="AM1322" s="100"/>
    </row>
    <row r="1323" spans="5:39" x14ac:dyDescent="0.3">
      <c r="E1323" s="191"/>
      <c r="AL1323" s="100"/>
      <c r="AM1323" s="100"/>
    </row>
    <row r="1324" spans="5:39" x14ac:dyDescent="0.3">
      <c r="E1324" s="191"/>
      <c r="AL1324" s="100"/>
      <c r="AM1324" s="100"/>
    </row>
    <row r="1325" spans="5:39" x14ac:dyDescent="0.3">
      <c r="E1325" s="191"/>
      <c r="AL1325" s="100"/>
      <c r="AM1325" s="100"/>
    </row>
    <row r="1326" spans="5:39" x14ac:dyDescent="0.3">
      <c r="E1326" s="191"/>
      <c r="AL1326" s="100"/>
      <c r="AM1326" s="100"/>
    </row>
    <row r="1327" spans="5:39" x14ac:dyDescent="0.3">
      <c r="E1327" s="191"/>
      <c r="AL1327" s="100"/>
      <c r="AM1327" s="100"/>
    </row>
    <row r="1328" spans="5:39" x14ac:dyDescent="0.3">
      <c r="E1328" s="191"/>
      <c r="AL1328" s="100"/>
      <c r="AM1328" s="100"/>
    </row>
    <row r="1329" spans="5:39" x14ac:dyDescent="0.3">
      <c r="E1329" s="191"/>
      <c r="AL1329" s="100"/>
      <c r="AM1329" s="100"/>
    </row>
    <row r="1330" spans="5:39" x14ac:dyDescent="0.3">
      <c r="E1330" s="191"/>
      <c r="AL1330" s="100"/>
      <c r="AM1330" s="100"/>
    </row>
    <row r="1331" spans="5:39" x14ac:dyDescent="0.3">
      <c r="E1331" s="191"/>
      <c r="AL1331" s="100"/>
      <c r="AM1331" s="100"/>
    </row>
    <row r="1332" spans="5:39" x14ac:dyDescent="0.3">
      <c r="E1332" s="191"/>
      <c r="AL1332" s="100"/>
      <c r="AM1332" s="100"/>
    </row>
    <row r="1333" spans="5:39" x14ac:dyDescent="0.3">
      <c r="E1333" s="191"/>
      <c r="AL1333" s="100"/>
      <c r="AM1333" s="100"/>
    </row>
    <row r="1334" spans="5:39" x14ac:dyDescent="0.3">
      <c r="E1334" s="191"/>
      <c r="AL1334" s="100"/>
      <c r="AM1334" s="100"/>
    </row>
    <row r="1335" spans="5:39" x14ac:dyDescent="0.3">
      <c r="E1335" s="191"/>
      <c r="AL1335" s="100"/>
      <c r="AM1335" s="100"/>
    </row>
    <row r="1336" spans="5:39" x14ac:dyDescent="0.3">
      <c r="E1336" s="191"/>
      <c r="AL1336" s="100"/>
      <c r="AM1336" s="100"/>
    </row>
    <row r="1337" spans="5:39" x14ac:dyDescent="0.3">
      <c r="E1337" s="191"/>
      <c r="AL1337" s="100"/>
      <c r="AM1337" s="100"/>
    </row>
    <row r="1338" spans="5:39" x14ac:dyDescent="0.3">
      <c r="E1338" s="191"/>
      <c r="AL1338" s="100"/>
      <c r="AM1338" s="100"/>
    </row>
    <row r="1339" spans="5:39" x14ac:dyDescent="0.3">
      <c r="E1339" s="191"/>
      <c r="AL1339" s="100"/>
      <c r="AM1339" s="100"/>
    </row>
    <row r="1340" spans="5:39" x14ac:dyDescent="0.3">
      <c r="E1340" s="191"/>
      <c r="AL1340" s="100"/>
      <c r="AM1340" s="100"/>
    </row>
    <row r="1341" spans="5:39" x14ac:dyDescent="0.3">
      <c r="AL1341" s="100"/>
      <c r="AM1341" s="100"/>
    </row>
    <row r="1342" spans="5:39" x14ac:dyDescent="0.3">
      <c r="AL1342" s="100"/>
      <c r="AM1342" s="100"/>
    </row>
    <row r="1343" spans="5:39" x14ac:dyDescent="0.3">
      <c r="AL1343" s="100"/>
      <c r="AM1343" s="100"/>
    </row>
    <row r="1344" spans="5:39" x14ac:dyDescent="0.3">
      <c r="AL1344" s="100"/>
      <c r="AM1344" s="100"/>
    </row>
    <row r="1345" spans="38:39" x14ac:dyDescent="0.3">
      <c r="AL1345" s="100"/>
      <c r="AM1345" s="100"/>
    </row>
    <row r="1346" spans="38:39" x14ac:dyDescent="0.3">
      <c r="AL1346" s="100"/>
      <c r="AM1346" s="100"/>
    </row>
    <row r="1347" spans="38:39" x14ac:dyDescent="0.3">
      <c r="AL1347" s="100"/>
      <c r="AM1347" s="100"/>
    </row>
    <row r="1348" spans="38:39" x14ac:dyDescent="0.3">
      <c r="AL1348" s="100"/>
      <c r="AM1348" s="100"/>
    </row>
    <row r="1349" spans="38:39" x14ac:dyDescent="0.3">
      <c r="AL1349" s="100"/>
      <c r="AM1349" s="100"/>
    </row>
    <row r="1350" spans="38:39" x14ac:dyDescent="0.3">
      <c r="AL1350" s="100"/>
      <c r="AM1350" s="100"/>
    </row>
    <row r="1351" spans="38:39" x14ac:dyDescent="0.3">
      <c r="AL1351" s="100"/>
      <c r="AM1351" s="100"/>
    </row>
    <row r="1352" spans="38:39" x14ac:dyDescent="0.3">
      <c r="AL1352" s="100"/>
      <c r="AM1352" s="100"/>
    </row>
    <row r="1353" spans="38:39" x14ac:dyDescent="0.3">
      <c r="AL1353" s="100"/>
      <c r="AM1353" s="100"/>
    </row>
    <row r="1354" spans="38:39" x14ac:dyDescent="0.3">
      <c r="AL1354" s="100"/>
      <c r="AM1354" s="100"/>
    </row>
    <row r="1355" spans="38:39" x14ac:dyDescent="0.3">
      <c r="AL1355" s="100"/>
      <c r="AM1355" s="100"/>
    </row>
    <row r="1356" spans="38:39" x14ac:dyDescent="0.3">
      <c r="AL1356" s="100"/>
      <c r="AM1356" s="100"/>
    </row>
    <row r="1357" spans="38:39" x14ac:dyDescent="0.3">
      <c r="AL1357" s="100"/>
      <c r="AM1357" s="100"/>
    </row>
    <row r="1358" spans="38:39" x14ac:dyDescent="0.3">
      <c r="AL1358" s="100"/>
      <c r="AM1358" s="100"/>
    </row>
    <row r="1359" spans="38:39" x14ac:dyDescent="0.3">
      <c r="AL1359" s="100"/>
      <c r="AM1359" s="100"/>
    </row>
    <row r="1360" spans="38:39" x14ac:dyDescent="0.3">
      <c r="AL1360" s="100"/>
      <c r="AM1360" s="100"/>
    </row>
    <row r="1361" spans="38:39" x14ac:dyDescent="0.3">
      <c r="AL1361" s="100"/>
      <c r="AM1361" s="100"/>
    </row>
    <row r="1362" spans="38:39" x14ac:dyDescent="0.3">
      <c r="AL1362" s="100"/>
      <c r="AM1362" s="100"/>
    </row>
    <row r="1363" spans="38:39" x14ac:dyDescent="0.3">
      <c r="AL1363" s="100"/>
      <c r="AM1363" s="100"/>
    </row>
    <row r="1364" spans="38:39" x14ac:dyDescent="0.3">
      <c r="AL1364" s="100"/>
      <c r="AM1364" s="100"/>
    </row>
    <row r="1365" spans="38:39" x14ac:dyDescent="0.3">
      <c r="AL1365" s="100"/>
      <c r="AM1365" s="100"/>
    </row>
    <row r="1366" spans="38:39" x14ac:dyDescent="0.3">
      <c r="AL1366" s="100"/>
      <c r="AM1366" s="100"/>
    </row>
    <row r="1367" spans="38:39" x14ac:dyDescent="0.3">
      <c r="AL1367" s="100"/>
      <c r="AM1367" s="100"/>
    </row>
    <row r="1368" spans="38:39" x14ac:dyDescent="0.3">
      <c r="AL1368" s="100"/>
      <c r="AM1368" s="100"/>
    </row>
    <row r="1369" spans="38:39" x14ac:dyDescent="0.3">
      <c r="AL1369" s="100"/>
      <c r="AM1369" s="100"/>
    </row>
    <row r="1370" spans="38:39" x14ac:dyDescent="0.3">
      <c r="AL1370" s="100"/>
      <c r="AM1370" s="100"/>
    </row>
    <row r="1371" spans="38:39" x14ac:dyDescent="0.3">
      <c r="AL1371" s="100"/>
      <c r="AM1371" s="100"/>
    </row>
    <row r="1372" spans="38:39" x14ac:dyDescent="0.3">
      <c r="AL1372" s="100"/>
      <c r="AM1372" s="100"/>
    </row>
    <row r="1373" spans="38:39" x14ac:dyDescent="0.3">
      <c r="AL1373" s="100"/>
      <c r="AM1373" s="100"/>
    </row>
    <row r="1374" spans="38:39" x14ac:dyDescent="0.3">
      <c r="AL1374" s="100"/>
      <c r="AM1374" s="100"/>
    </row>
    <row r="1375" spans="38:39" x14ac:dyDescent="0.3">
      <c r="AL1375" s="100"/>
      <c r="AM1375" s="100"/>
    </row>
    <row r="1376" spans="38:39" x14ac:dyDescent="0.3">
      <c r="AL1376" s="100"/>
      <c r="AM1376" s="100"/>
    </row>
    <row r="1377" spans="38:39" x14ac:dyDescent="0.3">
      <c r="AL1377" s="100"/>
      <c r="AM1377" s="100"/>
    </row>
    <row r="1378" spans="38:39" x14ac:dyDescent="0.3">
      <c r="AL1378" s="100"/>
      <c r="AM1378" s="100"/>
    </row>
    <row r="1379" spans="38:39" x14ac:dyDescent="0.3">
      <c r="AL1379" s="100"/>
      <c r="AM1379" s="100"/>
    </row>
    <row r="1380" spans="38:39" x14ac:dyDescent="0.3">
      <c r="AL1380" s="100"/>
      <c r="AM1380" s="100"/>
    </row>
    <row r="1381" spans="38:39" x14ac:dyDescent="0.3">
      <c r="AL1381" s="100"/>
      <c r="AM1381" s="100"/>
    </row>
    <row r="1382" spans="38:39" x14ac:dyDescent="0.3">
      <c r="AL1382" s="100"/>
      <c r="AM1382" s="100"/>
    </row>
    <row r="1383" spans="38:39" x14ac:dyDescent="0.3">
      <c r="AL1383" s="100"/>
      <c r="AM1383" s="100"/>
    </row>
    <row r="1384" spans="38:39" x14ac:dyDescent="0.3">
      <c r="AL1384" s="100"/>
      <c r="AM1384" s="100"/>
    </row>
    <row r="1385" spans="38:39" x14ac:dyDescent="0.3">
      <c r="AL1385" s="100"/>
      <c r="AM1385" s="100"/>
    </row>
    <row r="1386" spans="38:39" x14ac:dyDescent="0.3">
      <c r="AL1386" s="100"/>
      <c r="AM1386" s="100"/>
    </row>
    <row r="1387" spans="38:39" x14ac:dyDescent="0.3">
      <c r="AL1387" s="100"/>
      <c r="AM1387" s="100"/>
    </row>
    <row r="1388" spans="38:39" x14ac:dyDescent="0.3">
      <c r="AL1388" s="100"/>
      <c r="AM1388" s="100"/>
    </row>
    <row r="1389" spans="38:39" x14ac:dyDescent="0.3">
      <c r="AL1389" s="100"/>
      <c r="AM1389" s="100"/>
    </row>
    <row r="1390" spans="38:39" x14ac:dyDescent="0.3">
      <c r="AL1390" s="100"/>
      <c r="AM1390" s="100"/>
    </row>
    <row r="1391" spans="38:39" x14ac:dyDescent="0.3">
      <c r="AL1391" s="100"/>
      <c r="AM1391" s="100"/>
    </row>
    <row r="1392" spans="38:39" x14ac:dyDescent="0.3">
      <c r="AL1392" s="100"/>
      <c r="AM1392" s="100"/>
    </row>
    <row r="1393" spans="38:39" x14ac:dyDescent="0.3">
      <c r="AL1393" s="100"/>
      <c r="AM1393" s="100"/>
    </row>
    <row r="1394" spans="38:39" x14ac:dyDescent="0.3">
      <c r="AL1394" s="100"/>
      <c r="AM1394" s="100"/>
    </row>
    <row r="1395" spans="38:39" x14ac:dyDescent="0.3">
      <c r="AL1395" s="100"/>
      <c r="AM1395" s="100"/>
    </row>
    <row r="1396" spans="38:39" x14ac:dyDescent="0.3">
      <c r="AL1396" s="100"/>
      <c r="AM1396" s="100"/>
    </row>
    <row r="1397" spans="38:39" x14ac:dyDescent="0.3">
      <c r="AL1397" s="100"/>
      <c r="AM1397" s="100"/>
    </row>
    <row r="1398" spans="38:39" x14ac:dyDescent="0.3">
      <c r="AL1398" s="100"/>
      <c r="AM1398" s="100"/>
    </row>
    <row r="1399" spans="38:39" x14ac:dyDescent="0.3">
      <c r="AL1399" s="100"/>
      <c r="AM1399" s="100"/>
    </row>
    <row r="1400" spans="38:39" x14ac:dyDescent="0.3">
      <c r="AL1400" s="100"/>
      <c r="AM1400" s="100"/>
    </row>
    <row r="1401" spans="38:39" x14ac:dyDescent="0.3">
      <c r="AL1401" s="100"/>
      <c r="AM1401" s="100"/>
    </row>
    <row r="1402" spans="38:39" x14ac:dyDescent="0.3">
      <c r="AL1402" s="100"/>
      <c r="AM1402" s="100"/>
    </row>
    <row r="1403" spans="38:39" x14ac:dyDescent="0.3">
      <c r="AL1403" s="100"/>
      <c r="AM1403" s="100"/>
    </row>
    <row r="1404" spans="38:39" x14ac:dyDescent="0.3">
      <c r="AL1404" s="100"/>
      <c r="AM1404" s="100"/>
    </row>
    <row r="1405" spans="38:39" x14ac:dyDescent="0.3">
      <c r="AL1405" s="100"/>
      <c r="AM1405" s="100"/>
    </row>
    <row r="1406" spans="38:39" x14ac:dyDescent="0.3">
      <c r="AL1406" s="100"/>
      <c r="AM1406" s="100"/>
    </row>
    <row r="1407" spans="38:39" x14ac:dyDescent="0.3">
      <c r="AL1407" s="100"/>
      <c r="AM1407" s="100"/>
    </row>
    <row r="1408" spans="38:39" x14ac:dyDescent="0.3">
      <c r="AL1408" s="100"/>
      <c r="AM1408" s="100"/>
    </row>
    <row r="1409" spans="38:39" x14ac:dyDescent="0.3">
      <c r="AL1409" s="100"/>
      <c r="AM1409" s="100"/>
    </row>
    <row r="1410" spans="38:39" x14ac:dyDescent="0.3">
      <c r="AL1410" s="100"/>
      <c r="AM1410" s="100"/>
    </row>
    <row r="1411" spans="38:39" x14ac:dyDescent="0.3">
      <c r="AL1411" s="100"/>
      <c r="AM1411" s="100"/>
    </row>
    <row r="1412" spans="38:39" x14ac:dyDescent="0.3">
      <c r="AL1412" s="100"/>
      <c r="AM1412" s="100"/>
    </row>
    <row r="1413" spans="38:39" x14ac:dyDescent="0.3">
      <c r="AL1413" s="100"/>
      <c r="AM1413" s="100"/>
    </row>
    <row r="1414" spans="38:39" x14ac:dyDescent="0.3">
      <c r="AL1414" s="100"/>
      <c r="AM1414" s="100"/>
    </row>
    <row r="1415" spans="38:39" x14ac:dyDescent="0.3">
      <c r="AL1415" s="100"/>
      <c r="AM1415" s="100"/>
    </row>
    <row r="1416" spans="38:39" x14ac:dyDescent="0.3">
      <c r="AL1416" s="100"/>
      <c r="AM1416" s="100"/>
    </row>
    <row r="1417" spans="38:39" x14ac:dyDescent="0.3">
      <c r="AL1417" s="100"/>
      <c r="AM1417" s="100"/>
    </row>
    <row r="1418" spans="38:39" x14ac:dyDescent="0.3">
      <c r="AL1418" s="100"/>
      <c r="AM1418" s="100"/>
    </row>
    <row r="1419" spans="38:39" x14ac:dyDescent="0.3">
      <c r="AL1419" s="100"/>
      <c r="AM1419" s="100"/>
    </row>
    <row r="1420" spans="38:39" x14ac:dyDescent="0.3">
      <c r="AL1420" s="100"/>
      <c r="AM1420" s="100"/>
    </row>
    <row r="1421" spans="38:39" x14ac:dyDescent="0.3">
      <c r="AL1421" s="100"/>
      <c r="AM1421" s="100"/>
    </row>
    <row r="1422" spans="38:39" x14ac:dyDescent="0.3">
      <c r="AL1422" s="100"/>
      <c r="AM1422" s="100"/>
    </row>
    <row r="1423" spans="38:39" x14ac:dyDescent="0.3">
      <c r="AL1423" s="100"/>
      <c r="AM1423" s="100"/>
    </row>
    <row r="1424" spans="38:39" x14ac:dyDescent="0.3">
      <c r="AL1424" s="100"/>
      <c r="AM1424" s="100"/>
    </row>
    <row r="1425" spans="38:39" x14ac:dyDescent="0.3">
      <c r="AL1425" s="100"/>
      <c r="AM1425" s="100"/>
    </row>
    <row r="1426" spans="38:39" x14ac:dyDescent="0.3">
      <c r="AL1426" s="100"/>
      <c r="AM1426" s="100"/>
    </row>
    <row r="1427" spans="38:39" x14ac:dyDescent="0.3">
      <c r="AL1427" s="100"/>
      <c r="AM1427" s="100"/>
    </row>
    <row r="1428" spans="38:39" x14ac:dyDescent="0.3">
      <c r="AL1428" s="100"/>
      <c r="AM1428" s="100"/>
    </row>
    <row r="1429" spans="38:39" x14ac:dyDescent="0.3">
      <c r="AL1429" s="100"/>
      <c r="AM1429" s="100"/>
    </row>
    <row r="1430" spans="38:39" x14ac:dyDescent="0.3">
      <c r="AL1430" s="100"/>
      <c r="AM1430" s="100"/>
    </row>
    <row r="1431" spans="38:39" x14ac:dyDescent="0.3">
      <c r="AL1431" s="100"/>
      <c r="AM1431" s="100"/>
    </row>
    <row r="1432" spans="38:39" x14ac:dyDescent="0.3">
      <c r="AL1432" s="100"/>
      <c r="AM1432" s="100"/>
    </row>
    <row r="1433" spans="38:39" x14ac:dyDescent="0.3">
      <c r="AL1433" s="100"/>
      <c r="AM1433" s="100"/>
    </row>
    <row r="1434" spans="38:39" x14ac:dyDescent="0.3">
      <c r="AL1434" s="100"/>
      <c r="AM1434" s="100"/>
    </row>
    <row r="1435" spans="38:39" x14ac:dyDescent="0.3">
      <c r="AL1435" s="100"/>
      <c r="AM1435" s="100"/>
    </row>
    <row r="1436" spans="38:39" x14ac:dyDescent="0.3">
      <c r="AL1436" s="100"/>
      <c r="AM1436" s="100"/>
    </row>
    <row r="1437" spans="38:39" x14ac:dyDescent="0.3">
      <c r="AL1437" s="100"/>
      <c r="AM1437" s="100"/>
    </row>
    <row r="1438" spans="38:39" x14ac:dyDescent="0.3">
      <c r="AL1438" s="100"/>
      <c r="AM1438" s="100"/>
    </row>
    <row r="1439" spans="38:39" x14ac:dyDescent="0.3">
      <c r="AL1439" s="100"/>
      <c r="AM1439" s="100"/>
    </row>
    <row r="1440" spans="38:39" x14ac:dyDescent="0.3">
      <c r="AL1440" s="100"/>
      <c r="AM1440" s="100"/>
    </row>
    <row r="1441" spans="38:39" x14ac:dyDescent="0.3">
      <c r="AL1441" s="100"/>
      <c r="AM1441" s="100"/>
    </row>
    <row r="1442" spans="38:39" x14ac:dyDescent="0.3">
      <c r="AL1442" s="100"/>
      <c r="AM1442" s="100"/>
    </row>
    <row r="1443" spans="38:39" x14ac:dyDescent="0.3">
      <c r="AL1443" s="100"/>
      <c r="AM1443" s="100"/>
    </row>
    <row r="1444" spans="38:39" x14ac:dyDescent="0.3">
      <c r="AL1444" s="100"/>
      <c r="AM1444" s="100"/>
    </row>
    <row r="1445" spans="38:39" x14ac:dyDescent="0.3">
      <c r="AL1445" s="100"/>
      <c r="AM1445" s="100"/>
    </row>
    <row r="1446" spans="38:39" x14ac:dyDescent="0.3">
      <c r="AL1446" s="100"/>
      <c r="AM1446" s="100"/>
    </row>
    <row r="1447" spans="38:39" x14ac:dyDescent="0.3">
      <c r="AL1447" s="100"/>
      <c r="AM1447" s="100"/>
    </row>
    <row r="1448" spans="38:39" x14ac:dyDescent="0.3">
      <c r="AL1448" s="100"/>
      <c r="AM1448" s="100"/>
    </row>
    <row r="1449" spans="38:39" x14ac:dyDescent="0.3">
      <c r="AL1449" s="100"/>
      <c r="AM1449" s="100"/>
    </row>
    <row r="1450" spans="38:39" x14ac:dyDescent="0.3">
      <c r="AL1450" s="100"/>
      <c r="AM1450" s="100"/>
    </row>
    <row r="1451" spans="38:39" x14ac:dyDescent="0.3">
      <c r="AL1451" s="100"/>
      <c r="AM1451" s="100"/>
    </row>
    <row r="1452" spans="38:39" x14ac:dyDescent="0.3">
      <c r="AL1452" s="100"/>
      <c r="AM1452" s="100"/>
    </row>
    <row r="1453" spans="38:39" x14ac:dyDescent="0.3">
      <c r="AL1453" s="100"/>
      <c r="AM1453" s="100"/>
    </row>
    <row r="1454" spans="38:39" x14ac:dyDescent="0.3">
      <c r="AL1454" s="100"/>
      <c r="AM1454" s="100"/>
    </row>
    <row r="1455" spans="38:39" x14ac:dyDescent="0.3">
      <c r="AL1455" s="100"/>
      <c r="AM1455" s="100"/>
    </row>
    <row r="1456" spans="38:39" x14ac:dyDescent="0.3">
      <c r="AL1456" s="100"/>
      <c r="AM1456" s="100"/>
    </row>
    <row r="1457" spans="38:39" x14ac:dyDescent="0.3">
      <c r="AL1457" s="100"/>
      <c r="AM1457" s="100"/>
    </row>
    <row r="1458" spans="38:39" x14ac:dyDescent="0.3">
      <c r="AL1458" s="100"/>
      <c r="AM1458" s="100"/>
    </row>
    <row r="1459" spans="38:39" x14ac:dyDescent="0.3">
      <c r="AL1459" s="100"/>
      <c r="AM1459" s="100"/>
    </row>
    <row r="1460" spans="38:39" x14ac:dyDescent="0.3">
      <c r="AL1460" s="100"/>
      <c r="AM1460" s="100"/>
    </row>
    <row r="1461" spans="38:39" x14ac:dyDescent="0.3">
      <c r="AL1461" s="100"/>
      <c r="AM1461" s="100"/>
    </row>
    <row r="1462" spans="38:39" x14ac:dyDescent="0.3">
      <c r="AL1462" s="100"/>
      <c r="AM1462" s="100"/>
    </row>
    <row r="1463" spans="38:39" x14ac:dyDescent="0.3">
      <c r="AL1463" s="100"/>
      <c r="AM1463" s="100"/>
    </row>
    <row r="1464" spans="38:39" x14ac:dyDescent="0.3">
      <c r="AL1464" s="100"/>
      <c r="AM1464" s="100"/>
    </row>
    <row r="1465" spans="38:39" x14ac:dyDescent="0.3">
      <c r="AL1465" s="100"/>
      <c r="AM1465" s="100"/>
    </row>
    <row r="1466" spans="38:39" x14ac:dyDescent="0.3">
      <c r="AL1466" s="100"/>
      <c r="AM1466" s="100"/>
    </row>
    <row r="1467" spans="38:39" x14ac:dyDescent="0.3">
      <c r="AL1467" s="100"/>
      <c r="AM1467" s="100"/>
    </row>
    <row r="1468" spans="38:39" x14ac:dyDescent="0.3">
      <c r="AL1468" s="100"/>
      <c r="AM1468" s="100"/>
    </row>
    <row r="1469" spans="38:39" x14ac:dyDescent="0.3">
      <c r="AL1469" s="100"/>
      <c r="AM1469" s="100"/>
    </row>
    <row r="1470" spans="38:39" x14ac:dyDescent="0.3">
      <c r="AL1470" s="100"/>
      <c r="AM1470" s="100"/>
    </row>
    <row r="1471" spans="38:39" x14ac:dyDescent="0.3">
      <c r="AL1471" s="100"/>
      <c r="AM1471" s="100"/>
    </row>
    <row r="1472" spans="38:39" x14ac:dyDescent="0.3">
      <c r="AL1472" s="100"/>
      <c r="AM1472" s="100"/>
    </row>
    <row r="1473" spans="38:39" x14ac:dyDescent="0.3">
      <c r="AL1473" s="100"/>
      <c r="AM1473" s="100"/>
    </row>
    <row r="1474" spans="38:39" x14ac:dyDescent="0.3">
      <c r="AL1474" s="100"/>
      <c r="AM1474" s="100"/>
    </row>
    <row r="1475" spans="38:39" x14ac:dyDescent="0.3">
      <c r="AL1475" s="100"/>
      <c r="AM1475" s="100"/>
    </row>
    <row r="1476" spans="38:39" x14ac:dyDescent="0.3">
      <c r="AL1476" s="100"/>
      <c r="AM1476" s="100"/>
    </row>
    <row r="1477" spans="38:39" x14ac:dyDescent="0.3">
      <c r="AL1477" s="100"/>
      <c r="AM1477" s="100"/>
    </row>
    <row r="1478" spans="38:39" x14ac:dyDescent="0.3">
      <c r="AL1478" s="100"/>
      <c r="AM1478" s="100"/>
    </row>
    <row r="1479" spans="38:39" x14ac:dyDescent="0.3">
      <c r="AL1479" s="100"/>
      <c r="AM1479" s="100"/>
    </row>
    <row r="1480" spans="38:39" x14ac:dyDescent="0.3">
      <c r="AL1480" s="100"/>
      <c r="AM1480" s="100"/>
    </row>
    <row r="1481" spans="38:39" x14ac:dyDescent="0.3">
      <c r="AL1481" s="100"/>
      <c r="AM1481" s="100"/>
    </row>
    <row r="1482" spans="38:39" x14ac:dyDescent="0.3">
      <c r="AL1482" s="100"/>
      <c r="AM1482" s="100"/>
    </row>
    <row r="1483" spans="38:39" x14ac:dyDescent="0.3">
      <c r="AL1483" s="100"/>
      <c r="AM1483" s="100"/>
    </row>
    <row r="1484" spans="38:39" x14ac:dyDescent="0.3">
      <c r="AL1484" s="100"/>
      <c r="AM1484" s="100"/>
    </row>
    <row r="1485" spans="38:39" x14ac:dyDescent="0.3">
      <c r="AL1485" s="100"/>
      <c r="AM1485" s="100"/>
    </row>
    <row r="1486" spans="38:39" x14ac:dyDescent="0.3">
      <c r="AL1486" s="100"/>
      <c r="AM1486" s="100"/>
    </row>
    <row r="1487" spans="38:39" x14ac:dyDescent="0.3">
      <c r="AL1487" s="100"/>
      <c r="AM1487" s="100"/>
    </row>
    <row r="1488" spans="38:39" x14ac:dyDescent="0.3">
      <c r="AL1488" s="100"/>
      <c r="AM1488" s="100"/>
    </row>
    <row r="1489" spans="38:39" x14ac:dyDescent="0.3">
      <c r="AL1489" s="100"/>
      <c r="AM1489" s="100"/>
    </row>
    <row r="1490" spans="38:39" x14ac:dyDescent="0.3">
      <c r="AL1490" s="100"/>
      <c r="AM1490" s="100"/>
    </row>
    <row r="1491" spans="38:39" x14ac:dyDescent="0.3">
      <c r="AL1491" s="100"/>
      <c r="AM1491" s="100"/>
    </row>
    <row r="1492" spans="38:39" x14ac:dyDescent="0.3">
      <c r="AL1492" s="100"/>
      <c r="AM1492" s="100"/>
    </row>
    <row r="1493" spans="38:39" x14ac:dyDescent="0.3">
      <c r="AL1493" s="100"/>
      <c r="AM1493" s="100"/>
    </row>
    <row r="1494" spans="38:39" x14ac:dyDescent="0.3">
      <c r="AL1494" s="100"/>
      <c r="AM1494" s="100"/>
    </row>
    <row r="1495" spans="38:39" x14ac:dyDescent="0.3">
      <c r="AL1495" s="100"/>
      <c r="AM1495" s="100"/>
    </row>
    <row r="1496" spans="38:39" x14ac:dyDescent="0.3">
      <c r="AL1496" s="100"/>
      <c r="AM1496" s="100"/>
    </row>
    <row r="1497" spans="38:39" x14ac:dyDescent="0.3">
      <c r="AL1497" s="100"/>
      <c r="AM1497" s="100"/>
    </row>
    <row r="1498" spans="38:39" x14ac:dyDescent="0.3">
      <c r="AL1498" s="100"/>
      <c r="AM1498" s="100"/>
    </row>
    <row r="1499" spans="38:39" x14ac:dyDescent="0.3">
      <c r="AL1499" s="100"/>
      <c r="AM1499" s="100"/>
    </row>
    <row r="1500" spans="38:39" x14ac:dyDescent="0.3">
      <c r="AL1500" s="100"/>
      <c r="AM1500" s="100"/>
    </row>
    <row r="1501" spans="38:39" x14ac:dyDescent="0.3">
      <c r="AL1501" s="100"/>
      <c r="AM1501" s="100"/>
    </row>
    <row r="1502" spans="38:39" x14ac:dyDescent="0.3">
      <c r="AL1502" s="100"/>
      <c r="AM1502" s="100"/>
    </row>
    <row r="1503" spans="38:39" x14ac:dyDescent="0.3">
      <c r="AL1503" s="100"/>
      <c r="AM1503" s="100"/>
    </row>
    <row r="1504" spans="38:39" x14ac:dyDescent="0.3">
      <c r="AL1504" s="100"/>
      <c r="AM1504" s="100"/>
    </row>
    <row r="1505" spans="38:39" x14ac:dyDescent="0.3">
      <c r="AL1505" s="100"/>
      <c r="AM1505" s="100"/>
    </row>
    <row r="1506" spans="38:39" x14ac:dyDescent="0.3">
      <c r="AL1506" s="100"/>
      <c r="AM1506" s="100"/>
    </row>
    <row r="1507" spans="38:39" x14ac:dyDescent="0.3">
      <c r="AL1507" s="100"/>
      <c r="AM1507" s="100"/>
    </row>
    <row r="1508" spans="38:39" x14ac:dyDescent="0.3">
      <c r="AL1508" s="100"/>
      <c r="AM1508" s="100"/>
    </row>
    <row r="1509" spans="38:39" x14ac:dyDescent="0.3">
      <c r="AL1509" s="100"/>
      <c r="AM1509" s="100"/>
    </row>
    <row r="1510" spans="38:39" x14ac:dyDescent="0.3">
      <c r="AL1510" s="100"/>
      <c r="AM1510" s="100"/>
    </row>
    <row r="1511" spans="38:39" x14ac:dyDescent="0.3">
      <c r="AL1511" s="100"/>
      <c r="AM1511" s="100"/>
    </row>
    <row r="1512" spans="38:39" x14ac:dyDescent="0.3">
      <c r="AL1512" s="100"/>
      <c r="AM1512" s="100"/>
    </row>
    <row r="1513" spans="38:39" x14ac:dyDescent="0.3">
      <c r="AL1513" s="100"/>
      <c r="AM1513" s="100"/>
    </row>
    <row r="1514" spans="38:39" x14ac:dyDescent="0.3">
      <c r="AL1514" s="100"/>
      <c r="AM1514" s="100"/>
    </row>
    <row r="1515" spans="38:39" x14ac:dyDescent="0.3">
      <c r="AL1515" s="100"/>
      <c r="AM1515" s="100"/>
    </row>
    <row r="1516" spans="38:39" x14ac:dyDescent="0.3">
      <c r="AL1516" s="100"/>
      <c r="AM1516" s="100"/>
    </row>
    <row r="1517" spans="38:39" x14ac:dyDescent="0.3">
      <c r="AL1517" s="100"/>
      <c r="AM1517" s="100"/>
    </row>
    <row r="1518" spans="38:39" x14ac:dyDescent="0.3">
      <c r="AL1518" s="100"/>
      <c r="AM1518" s="100"/>
    </row>
    <row r="1519" spans="38:39" x14ac:dyDescent="0.3">
      <c r="AL1519" s="100"/>
      <c r="AM1519" s="100"/>
    </row>
    <row r="1520" spans="38:39" x14ac:dyDescent="0.3">
      <c r="AL1520" s="100"/>
      <c r="AM1520" s="100"/>
    </row>
    <row r="1521" spans="38:39" x14ac:dyDescent="0.3">
      <c r="AL1521" s="100"/>
      <c r="AM1521" s="100"/>
    </row>
    <row r="1522" spans="38:39" x14ac:dyDescent="0.3">
      <c r="AL1522" s="100"/>
      <c r="AM1522" s="100"/>
    </row>
    <row r="1523" spans="38:39" x14ac:dyDescent="0.3">
      <c r="AL1523" s="100"/>
      <c r="AM1523" s="100"/>
    </row>
    <row r="1524" spans="38:39" x14ac:dyDescent="0.3">
      <c r="AL1524" s="100"/>
      <c r="AM1524" s="100"/>
    </row>
    <row r="1525" spans="38:39" x14ac:dyDescent="0.3">
      <c r="AL1525" s="100"/>
      <c r="AM1525" s="100"/>
    </row>
    <row r="1526" spans="38:39" x14ac:dyDescent="0.3">
      <c r="AL1526" s="100"/>
      <c r="AM1526" s="100"/>
    </row>
    <row r="1527" spans="38:39" x14ac:dyDescent="0.3">
      <c r="AL1527" s="100"/>
      <c r="AM1527" s="100"/>
    </row>
    <row r="1528" spans="38:39" x14ac:dyDescent="0.3">
      <c r="AL1528" s="100"/>
      <c r="AM1528" s="100"/>
    </row>
    <row r="1529" spans="38:39" x14ac:dyDescent="0.3">
      <c r="AL1529" s="100"/>
      <c r="AM1529" s="100"/>
    </row>
    <row r="1530" spans="38:39" x14ac:dyDescent="0.3">
      <c r="AL1530" s="100"/>
      <c r="AM1530" s="100"/>
    </row>
    <row r="1531" spans="38:39" x14ac:dyDescent="0.3">
      <c r="AL1531" s="100"/>
      <c r="AM1531" s="100"/>
    </row>
    <row r="1532" spans="38:39" x14ac:dyDescent="0.3">
      <c r="AL1532" s="100"/>
      <c r="AM1532" s="100"/>
    </row>
    <row r="1533" spans="38:39" x14ac:dyDescent="0.3">
      <c r="AL1533" s="100"/>
      <c r="AM1533" s="100"/>
    </row>
    <row r="1534" spans="38:39" x14ac:dyDescent="0.3">
      <c r="AL1534" s="100"/>
      <c r="AM1534" s="100"/>
    </row>
    <row r="1535" spans="38:39" x14ac:dyDescent="0.3">
      <c r="AL1535" s="100"/>
      <c r="AM1535" s="100"/>
    </row>
    <row r="1536" spans="38:39" x14ac:dyDescent="0.3">
      <c r="AL1536" s="100"/>
      <c r="AM1536" s="100"/>
    </row>
    <row r="1537" spans="38:39" x14ac:dyDescent="0.3">
      <c r="AL1537" s="100"/>
      <c r="AM1537" s="100"/>
    </row>
    <row r="1538" spans="38:39" x14ac:dyDescent="0.3">
      <c r="AL1538" s="100"/>
      <c r="AM1538" s="100"/>
    </row>
    <row r="1539" spans="38:39" x14ac:dyDescent="0.3">
      <c r="AL1539" s="100"/>
      <c r="AM1539" s="100"/>
    </row>
    <row r="1540" spans="38:39" x14ac:dyDescent="0.3">
      <c r="AL1540" s="100"/>
      <c r="AM1540" s="100"/>
    </row>
    <row r="1541" spans="38:39" x14ac:dyDescent="0.3">
      <c r="AL1541" s="100"/>
      <c r="AM1541" s="100"/>
    </row>
    <row r="1542" spans="38:39" x14ac:dyDescent="0.3">
      <c r="AL1542" s="100"/>
      <c r="AM1542" s="100"/>
    </row>
    <row r="1543" spans="38:39" x14ac:dyDescent="0.3">
      <c r="AL1543" s="100"/>
      <c r="AM1543" s="100"/>
    </row>
    <row r="1544" spans="38:39" x14ac:dyDescent="0.3">
      <c r="AL1544" s="100"/>
      <c r="AM1544" s="100"/>
    </row>
    <row r="1545" spans="38:39" x14ac:dyDescent="0.3">
      <c r="AL1545" s="100"/>
      <c r="AM1545" s="100"/>
    </row>
    <row r="1546" spans="38:39" x14ac:dyDescent="0.3">
      <c r="AL1546" s="100"/>
      <c r="AM1546" s="100"/>
    </row>
    <row r="1547" spans="38:39" x14ac:dyDescent="0.3">
      <c r="AL1547" s="100"/>
      <c r="AM1547" s="100"/>
    </row>
    <row r="1548" spans="38:39" x14ac:dyDescent="0.3">
      <c r="AL1548" s="100"/>
      <c r="AM1548" s="100"/>
    </row>
    <row r="1549" spans="38:39" x14ac:dyDescent="0.3">
      <c r="AL1549" s="100"/>
      <c r="AM1549" s="100"/>
    </row>
    <row r="1550" spans="38:39" x14ac:dyDescent="0.3">
      <c r="AL1550" s="100"/>
      <c r="AM1550" s="100"/>
    </row>
    <row r="1551" spans="38:39" x14ac:dyDescent="0.3">
      <c r="AL1551" s="100"/>
      <c r="AM1551" s="100"/>
    </row>
    <row r="1552" spans="38:39" x14ac:dyDescent="0.3">
      <c r="AL1552" s="100"/>
      <c r="AM1552" s="100"/>
    </row>
    <row r="1553" spans="38:39" x14ac:dyDescent="0.3">
      <c r="AL1553" s="100"/>
      <c r="AM1553" s="100"/>
    </row>
    <row r="1554" spans="38:39" x14ac:dyDescent="0.3">
      <c r="AL1554" s="100"/>
      <c r="AM1554" s="100"/>
    </row>
    <row r="1555" spans="38:39" x14ac:dyDescent="0.3">
      <c r="AL1555" s="100"/>
      <c r="AM1555" s="100"/>
    </row>
    <row r="1556" spans="38:39" x14ac:dyDescent="0.3">
      <c r="AL1556" s="100"/>
      <c r="AM1556" s="100"/>
    </row>
    <row r="1557" spans="38:39" x14ac:dyDescent="0.3">
      <c r="AL1557" s="100"/>
      <c r="AM1557" s="100"/>
    </row>
    <row r="1558" spans="38:39" x14ac:dyDescent="0.3">
      <c r="AL1558" s="100"/>
      <c r="AM1558" s="100"/>
    </row>
    <row r="1559" spans="38:39" x14ac:dyDescent="0.3">
      <c r="AL1559" s="100"/>
      <c r="AM1559" s="100"/>
    </row>
    <row r="1560" spans="38:39" x14ac:dyDescent="0.3">
      <c r="AL1560" s="100"/>
      <c r="AM1560" s="100"/>
    </row>
    <row r="1561" spans="38:39" x14ac:dyDescent="0.3">
      <c r="AL1561" s="100"/>
      <c r="AM1561" s="100"/>
    </row>
    <row r="1562" spans="38:39" x14ac:dyDescent="0.3">
      <c r="AL1562" s="100"/>
      <c r="AM1562" s="100"/>
    </row>
    <row r="1563" spans="38:39" x14ac:dyDescent="0.3">
      <c r="AL1563" s="100"/>
      <c r="AM1563" s="100"/>
    </row>
    <row r="1564" spans="38:39" x14ac:dyDescent="0.3">
      <c r="AL1564" s="100"/>
      <c r="AM1564" s="100"/>
    </row>
    <row r="1565" spans="38:39" x14ac:dyDescent="0.3">
      <c r="AL1565" s="100"/>
      <c r="AM1565" s="100"/>
    </row>
    <row r="1566" spans="38:39" x14ac:dyDescent="0.3">
      <c r="AL1566" s="100"/>
      <c r="AM1566" s="100"/>
    </row>
    <row r="1567" spans="38:39" x14ac:dyDescent="0.3">
      <c r="AL1567" s="100"/>
      <c r="AM1567" s="100"/>
    </row>
    <row r="1568" spans="38:39" x14ac:dyDescent="0.3">
      <c r="AL1568" s="100"/>
      <c r="AM1568" s="100"/>
    </row>
    <row r="1569" spans="38:39" x14ac:dyDescent="0.3">
      <c r="AL1569" s="100"/>
      <c r="AM1569" s="100"/>
    </row>
    <row r="1570" spans="38:39" x14ac:dyDescent="0.3">
      <c r="AL1570" s="100"/>
      <c r="AM1570" s="100"/>
    </row>
    <row r="1571" spans="38:39" x14ac:dyDescent="0.3">
      <c r="AL1571" s="100"/>
      <c r="AM1571" s="100"/>
    </row>
    <row r="1572" spans="38:39" x14ac:dyDescent="0.3">
      <c r="AL1572" s="100"/>
      <c r="AM1572" s="100"/>
    </row>
    <row r="1573" spans="38:39" x14ac:dyDescent="0.3">
      <c r="AL1573" s="100"/>
      <c r="AM1573" s="100"/>
    </row>
    <row r="1574" spans="38:39" x14ac:dyDescent="0.3">
      <c r="AL1574" s="100"/>
      <c r="AM1574" s="100"/>
    </row>
    <row r="1575" spans="38:39" x14ac:dyDescent="0.3">
      <c r="AL1575" s="100"/>
      <c r="AM1575" s="100"/>
    </row>
    <row r="1576" spans="38:39" x14ac:dyDescent="0.3">
      <c r="AL1576" s="100"/>
      <c r="AM1576" s="100"/>
    </row>
    <row r="1577" spans="38:39" x14ac:dyDescent="0.3">
      <c r="AL1577" s="100"/>
      <c r="AM1577" s="100"/>
    </row>
    <row r="1578" spans="38:39" x14ac:dyDescent="0.3">
      <c r="AL1578" s="100"/>
      <c r="AM1578" s="100"/>
    </row>
    <row r="1579" spans="38:39" x14ac:dyDescent="0.3">
      <c r="AL1579" s="100"/>
      <c r="AM1579" s="100"/>
    </row>
    <row r="1580" spans="38:39" x14ac:dyDescent="0.3">
      <c r="AL1580" s="100"/>
      <c r="AM1580" s="100"/>
    </row>
    <row r="1581" spans="38:39" x14ac:dyDescent="0.3">
      <c r="AL1581" s="100"/>
      <c r="AM1581" s="100"/>
    </row>
    <row r="1582" spans="38:39" x14ac:dyDescent="0.3">
      <c r="AL1582" s="100"/>
      <c r="AM1582" s="100"/>
    </row>
    <row r="1583" spans="38:39" x14ac:dyDescent="0.3">
      <c r="AL1583" s="100"/>
      <c r="AM1583" s="100"/>
    </row>
    <row r="1584" spans="38:39" x14ac:dyDescent="0.3">
      <c r="AL1584" s="100"/>
      <c r="AM1584" s="100"/>
    </row>
    <row r="1585" spans="38:39" x14ac:dyDescent="0.3">
      <c r="AL1585" s="100"/>
      <c r="AM1585" s="100"/>
    </row>
    <row r="1586" spans="38:39" x14ac:dyDescent="0.3">
      <c r="AL1586" s="100"/>
      <c r="AM1586" s="100"/>
    </row>
    <row r="1587" spans="38:39" x14ac:dyDescent="0.3">
      <c r="AL1587" s="100"/>
      <c r="AM1587" s="100"/>
    </row>
    <row r="1588" spans="38:39" x14ac:dyDescent="0.3">
      <c r="AL1588" s="100"/>
      <c r="AM1588" s="100"/>
    </row>
    <row r="1589" spans="38:39" x14ac:dyDescent="0.3">
      <c r="AL1589" s="100"/>
      <c r="AM1589" s="100"/>
    </row>
    <row r="1590" spans="38:39" x14ac:dyDescent="0.3">
      <c r="AL1590" s="100"/>
      <c r="AM1590" s="100"/>
    </row>
    <row r="1591" spans="38:39" x14ac:dyDescent="0.3">
      <c r="AL1591" s="100"/>
      <c r="AM1591" s="100"/>
    </row>
    <row r="1592" spans="38:39" x14ac:dyDescent="0.3">
      <c r="AL1592" s="100"/>
      <c r="AM1592" s="100"/>
    </row>
    <row r="1593" spans="38:39" x14ac:dyDescent="0.3">
      <c r="AL1593" s="100"/>
      <c r="AM1593" s="100"/>
    </row>
    <row r="1594" spans="38:39" x14ac:dyDescent="0.3">
      <c r="AL1594" s="100"/>
      <c r="AM1594" s="100"/>
    </row>
    <row r="1595" spans="38:39" x14ac:dyDescent="0.3">
      <c r="AL1595" s="100"/>
      <c r="AM1595" s="100"/>
    </row>
    <row r="1596" spans="38:39" x14ac:dyDescent="0.3">
      <c r="AL1596" s="100"/>
      <c r="AM1596" s="100"/>
    </row>
    <row r="1597" spans="38:39" x14ac:dyDescent="0.3">
      <c r="AL1597" s="100"/>
      <c r="AM1597" s="100"/>
    </row>
    <row r="1598" spans="38:39" x14ac:dyDescent="0.3">
      <c r="AL1598" s="100"/>
      <c r="AM1598" s="100"/>
    </row>
    <row r="1599" spans="38:39" x14ac:dyDescent="0.3">
      <c r="AL1599" s="100"/>
      <c r="AM1599" s="100"/>
    </row>
    <row r="1600" spans="38:39" x14ac:dyDescent="0.3">
      <c r="AL1600" s="100"/>
      <c r="AM1600" s="100"/>
    </row>
    <row r="1601" spans="38:39" x14ac:dyDescent="0.3">
      <c r="AL1601" s="100"/>
      <c r="AM1601" s="100"/>
    </row>
    <row r="1602" spans="38:39" x14ac:dyDescent="0.3">
      <c r="AL1602" s="100"/>
      <c r="AM1602" s="100"/>
    </row>
    <row r="1603" spans="38:39" x14ac:dyDescent="0.3">
      <c r="AL1603" s="100"/>
      <c r="AM1603" s="100"/>
    </row>
    <row r="1604" spans="38:39" x14ac:dyDescent="0.3">
      <c r="AL1604" s="100"/>
      <c r="AM1604" s="100"/>
    </row>
    <row r="1605" spans="38:39" x14ac:dyDescent="0.3">
      <c r="AL1605" s="100"/>
      <c r="AM1605" s="100"/>
    </row>
    <row r="1606" spans="38:39" x14ac:dyDescent="0.3">
      <c r="AL1606" s="100"/>
      <c r="AM1606" s="100"/>
    </row>
    <row r="1607" spans="38:39" x14ac:dyDescent="0.3">
      <c r="AL1607" s="100"/>
      <c r="AM1607" s="100"/>
    </row>
    <row r="1608" spans="38:39" x14ac:dyDescent="0.3">
      <c r="AL1608" s="100"/>
      <c r="AM1608" s="100"/>
    </row>
    <row r="1609" spans="38:39" x14ac:dyDescent="0.3">
      <c r="AL1609" s="100"/>
      <c r="AM1609" s="100"/>
    </row>
    <row r="1610" spans="38:39" x14ac:dyDescent="0.3">
      <c r="AL1610" s="100"/>
      <c r="AM1610" s="100"/>
    </row>
    <row r="1611" spans="38:39" x14ac:dyDescent="0.3">
      <c r="AL1611" s="100"/>
      <c r="AM1611" s="100"/>
    </row>
    <row r="1612" spans="38:39" x14ac:dyDescent="0.3">
      <c r="AL1612" s="100"/>
      <c r="AM1612" s="100"/>
    </row>
    <row r="1613" spans="38:39" x14ac:dyDescent="0.3">
      <c r="AL1613" s="100"/>
      <c r="AM1613" s="100"/>
    </row>
    <row r="1614" spans="38:39" x14ac:dyDescent="0.3">
      <c r="AL1614" s="100"/>
      <c r="AM1614" s="100"/>
    </row>
    <row r="1615" spans="38:39" x14ac:dyDescent="0.3">
      <c r="AL1615" s="100"/>
      <c r="AM1615" s="100"/>
    </row>
    <row r="1616" spans="38:39" x14ac:dyDescent="0.3">
      <c r="AL1616" s="100"/>
      <c r="AM1616" s="100"/>
    </row>
    <row r="1617" spans="38:39" x14ac:dyDescent="0.3">
      <c r="AL1617" s="100"/>
      <c r="AM1617" s="100"/>
    </row>
    <row r="1618" spans="38:39" x14ac:dyDescent="0.3">
      <c r="AL1618" s="100"/>
      <c r="AM1618" s="100"/>
    </row>
    <row r="1619" spans="38:39" x14ac:dyDescent="0.3">
      <c r="AL1619" s="100"/>
      <c r="AM1619" s="100"/>
    </row>
    <row r="1620" spans="38:39" x14ac:dyDescent="0.3">
      <c r="AL1620" s="100"/>
      <c r="AM1620" s="100"/>
    </row>
    <row r="1621" spans="38:39" x14ac:dyDescent="0.3">
      <c r="AL1621" s="100"/>
      <c r="AM1621" s="100"/>
    </row>
    <row r="1622" spans="38:39" x14ac:dyDescent="0.3">
      <c r="AL1622" s="100"/>
      <c r="AM1622" s="100"/>
    </row>
    <row r="1623" spans="38:39" x14ac:dyDescent="0.3">
      <c r="AL1623" s="100"/>
      <c r="AM1623" s="100"/>
    </row>
    <row r="1624" spans="38:39" x14ac:dyDescent="0.3">
      <c r="AL1624" s="100"/>
      <c r="AM1624" s="100"/>
    </row>
    <row r="1625" spans="38:39" x14ac:dyDescent="0.3">
      <c r="AL1625" s="100"/>
      <c r="AM1625" s="100"/>
    </row>
    <row r="1626" spans="38:39" x14ac:dyDescent="0.3">
      <c r="AL1626" s="100"/>
      <c r="AM1626" s="100"/>
    </row>
    <row r="1627" spans="38:39" x14ac:dyDescent="0.3">
      <c r="AL1627" s="100"/>
      <c r="AM1627" s="100"/>
    </row>
    <row r="1628" spans="38:39" x14ac:dyDescent="0.3">
      <c r="AL1628" s="100"/>
      <c r="AM1628" s="100"/>
    </row>
    <row r="1629" spans="38:39" x14ac:dyDescent="0.3">
      <c r="AL1629" s="100"/>
      <c r="AM1629" s="100"/>
    </row>
    <row r="1630" spans="38:39" x14ac:dyDescent="0.3">
      <c r="AL1630" s="100"/>
      <c r="AM1630" s="100"/>
    </row>
    <row r="1631" spans="38:39" x14ac:dyDescent="0.3">
      <c r="AL1631" s="100"/>
      <c r="AM1631" s="100"/>
    </row>
    <row r="1632" spans="38:39" x14ac:dyDescent="0.3">
      <c r="AL1632" s="100"/>
      <c r="AM1632" s="100"/>
    </row>
    <row r="1633" spans="38:39" x14ac:dyDescent="0.3">
      <c r="AL1633" s="100"/>
      <c r="AM1633" s="100"/>
    </row>
    <row r="1634" spans="38:39" x14ac:dyDescent="0.3">
      <c r="AL1634" s="100"/>
      <c r="AM1634" s="100"/>
    </row>
    <row r="1635" spans="38:39" x14ac:dyDescent="0.3">
      <c r="AL1635" s="100"/>
      <c r="AM1635" s="100"/>
    </row>
    <row r="1636" spans="38:39" x14ac:dyDescent="0.3">
      <c r="AL1636" s="100"/>
      <c r="AM1636" s="100"/>
    </row>
    <row r="1637" spans="38:39" x14ac:dyDescent="0.3">
      <c r="AL1637" s="100"/>
      <c r="AM1637" s="100"/>
    </row>
    <row r="1638" spans="38:39" x14ac:dyDescent="0.3">
      <c r="AL1638" s="100"/>
      <c r="AM1638" s="100"/>
    </row>
    <row r="1639" spans="38:39" x14ac:dyDescent="0.3">
      <c r="AL1639" s="100"/>
      <c r="AM1639" s="100"/>
    </row>
    <row r="1640" spans="38:39" x14ac:dyDescent="0.3">
      <c r="AL1640" s="100"/>
      <c r="AM1640" s="100"/>
    </row>
    <row r="1641" spans="38:39" x14ac:dyDescent="0.3">
      <c r="AL1641" s="100"/>
      <c r="AM1641" s="100"/>
    </row>
    <row r="1642" spans="38:39" x14ac:dyDescent="0.3">
      <c r="AL1642" s="100"/>
      <c r="AM1642" s="100"/>
    </row>
    <row r="1643" spans="38:39" x14ac:dyDescent="0.3">
      <c r="AL1643" s="100"/>
      <c r="AM1643" s="100"/>
    </row>
    <row r="1644" spans="38:39" x14ac:dyDescent="0.3">
      <c r="AL1644" s="100"/>
      <c r="AM1644" s="100"/>
    </row>
    <row r="1645" spans="38:39" x14ac:dyDescent="0.3">
      <c r="AL1645" s="100"/>
      <c r="AM1645" s="100"/>
    </row>
    <row r="1646" spans="38:39" x14ac:dyDescent="0.3">
      <c r="AL1646" s="100"/>
      <c r="AM1646" s="100"/>
    </row>
    <row r="1647" spans="38:39" x14ac:dyDescent="0.3">
      <c r="AL1647" s="100"/>
      <c r="AM1647" s="100"/>
    </row>
    <row r="1648" spans="38:39" x14ac:dyDescent="0.3">
      <c r="AL1648" s="100"/>
      <c r="AM1648" s="100"/>
    </row>
    <row r="1649" spans="38:39" x14ac:dyDescent="0.3">
      <c r="AL1649" s="100"/>
      <c r="AM1649" s="100"/>
    </row>
    <row r="1650" spans="38:39" x14ac:dyDescent="0.3">
      <c r="AL1650" s="100"/>
      <c r="AM1650" s="100"/>
    </row>
    <row r="1651" spans="38:39" x14ac:dyDescent="0.3">
      <c r="AL1651" s="100"/>
      <c r="AM1651" s="100"/>
    </row>
    <row r="1652" spans="38:39" x14ac:dyDescent="0.3">
      <c r="AL1652" s="100"/>
      <c r="AM1652" s="100"/>
    </row>
    <row r="1653" spans="38:39" x14ac:dyDescent="0.3">
      <c r="AL1653" s="100"/>
      <c r="AM1653" s="100"/>
    </row>
    <row r="1654" spans="38:39" x14ac:dyDescent="0.3">
      <c r="AL1654" s="100"/>
      <c r="AM1654" s="100"/>
    </row>
    <row r="1655" spans="38:39" x14ac:dyDescent="0.3">
      <c r="AL1655" s="100"/>
      <c r="AM1655" s="100"/>
    </row>
    <row r="1656" spans="38:39" x14ac:dyDescent="0.3">
      <c r="AL1656" s="100"/>
      <c r="AM1656" s="100"/>
    </row>
    <row r="1657" spans="38:39" x14ac:dyDescent="0.3">
      <c r="AL1657" s="100"/>
      <c r="AM1657" s="100"/>
    </row>
    <row r="1658" spans="38:39" x14ac:dyDescent="0.3">
      <c r="AL1658" s="100"/>
      <c r="AM1658" s="100"/>
    </row>
    <row r="1659" spans="38:39" x14ac:dyDescent="0.3">
      <c r="AL1659" s="100"/>
      <c r="AM1659" s="100"/>
    </row>
    <row r="1660" spans="38:39" x14ac:dyDescent="0.3">
      <c r="AL1660" s="100"/>
      <c r="AM1660" s="100"/>
    </row>
    <row r="1661" spans="38:39" x14ac:dyDescent="0.3">
      <c r="AL1661" s="100"/>
      <c r="AM1661" s="100"/>
    </row>
    <row r="1662" spans="38:39" x14ac:dyDescent="0.3">
      <c r="AL1662" s="100"/>
      <c r="AM1662" s="100"/>
    </row>
    <row r="1663" spans="38:39" x14ac:dyDescent="0.3">
      <c r="AL1663" s="100"/>
      <c r="AM1663" s="100"/>
    </row>
    <row r="1664" spans="38:39" x14ac:dyDescent="0.3">
      <c r="AL1664" s="100"/>
      <c r="AM1664" s="100"/>
    </row>
    <row r="1665" spans="38:39" x14ac:dyDescent="0.3">
      <c r="AL1665" s="100"/>
      <c r="AM1665" s="100"/>
    </row>
    <row r="1666" spans="38:39" x14ac:dyDescent="0.3">
      <c r="AL1666" s="100"/>
      <c r="AM1666" s="100"/>
    </row>
    <row r="1667" spans="38:39" x14ac:dyDescent="0.3">
      <c r="AL1667" s="100"/>
      <c r="AM1667" s="100"/>
    </row>
    <row r="1668" spans="38:39" x14ac:dyDescent="0.3">
      <c r="AL1668" s="100"/>
      <c r="AM1668" s="100"/>
    </row>
    <row r="1669" spans="38:39" x14ac:dyDescent="0.3">
      <c r="AL1669" s="100"/>
      <c r="AM1669" s="100"/>
    </row>
    <row r="1670" spans="38:39" x14ac:dyDescent="0.3">
      <c r="AL1670" s="100"/>
      <c r="AM1670" s="100"/>
    </row>
    <row r="1671" spans="38:39" x14ac:dyDescent="0.3">
      <c r="AL1671" s="100"/>
      <c r="AM1671" s="100"/>
    </row>
    <row r="1672" spans="38:39" x14ac:dyDescent="0.3">
      <c r="AL1672" s="100"/>
      <c r="AM1672" s="100"/>
    </row>
    <row r="1673" spans="38:39" x14ac:dyDescent="0.3">
      <c r="AL1673" s="100"/>
      <c r="AM1673" s="100"/>
    </row>
    <row r="1674" spans="38:39" x14ac:dyDescent="0.3">
      <c r="AL1674" s="100"/>
      <c r="AM1674" s="100"/>
    </row>
    <row r="1675" spans="38:39" x14ac:dyDescent="0.3">
      <c r="AL1675" s="100"/>
      <c r="AM1675" s="100"/>
    </row>
    <row r="1676" spans="38:39" x14ac:dyDescent="0.3">
      <c r="AL1676" s="100"/>
      <c r="AM1676" s="100"/>
    </row>
    <row r="1677" spans="38:39" x14ac:dyDescent="0.3">
      <c r="AL1677" s="100"/>
      <c r="AM1677" s="100"/>
    </row>
    <row r="1678" spans="38:39" x14ac:dyDescent="0.3">
      <c r="AL1678" s="100"/>
      <c r="AM1678" s="100"/>
    </row>
    <row r="1679" spans="38:39" x14ac:dyDescent="0.3">
      <c r="AL1679" s="100"/>
      <c r="AM1679" s="100"/>
    </row>
    <row r="1680" spans="38:39" x14ac:dyDescent="0.3">
      <c r="AL1680" s="100"/>
      <c r="AM1680" s="100"/>
    </row>
    <row r="1681" spans="38:39" x14ac:dyDescent="0.3">
      <c r="AL1681" s="100"/>
      <c r="AM1681" s="100"/>
    </row>
    <row r="1682" spans="38:39" x14ac:dyDescent="0.3">
      <c r="AL1682" s="100"/>
      <c r="AM1682" s="100"/>
    </row>
    <row r="1683" spans="38:39" x14ac:dyDescent="0.3">
      <c r="AL1683" s="100"/>
      <c r="AM1683" s="100"/>
    </row>
    <row r="1684" spans="38:39" x14ac:dyDescent="0.3">
      <c r="AL1684" s="100"/>
      <c r="AM1684" s="100"/>
    </row>
    <row r="1685" spans="38:39" x14ac:dyDescent="0.3">
      <c r="AL1685" s="100"/>
      <c r="AM1685" s="100"/>
    </row>
    <row r="1686" spans="38:39" x14ac:dyDescent="0.3">
      <c r="AL1686" s="100"/>
      <c r="AM1686" s="100"/>
    </row>
    <row r="1687" spans="38:39" x14ac:dyDescent="0.3">
      <c r="AL1687" s="100"/>
      <c r="AM1687" s="100"/>
    </row>
    <row r="1688" spans="38:39" x14ac:dyDescent="0.3">
      <c r="AL1688" s="100"/>
      <c r="AM1688" s="100"/>
    </row>
    <row r="1689" spans="38:39" x14ac:dyDescent="0.3">
      <c r="AL1689" s="100"/>
      <c r="AM1689" s="100"/>
    </row>
    <row r="1690" spans="38:39" x14ac:dyDescent="0.3">
      <c r="AL1690" s="100"/>
      <c r="AM1690" s="100"/>
    </row>
    <row r="1691" spans="38:39" x14ac:dyDescent="0.3">
      <c r="AL1691" s="100"/>
      <c r="AM1691" s="100"/>
    </row>
    <row r="1692" spans="38:39" x14ac:dyDescent="0.3">
      <c r="AL1692" s="100"/>
      <c r="AM1692" s="100"/>
    </row>
    <row r="1693" spans="38:39" x14ac:dyDescent="0.3">
      <c r="AL1693" s="100"/>
      <c r="AM1693" s="100"/>
    </row>
    <row r="1694" spans="38:39" x14ac:dyDescent="0.3">
      <c r="AL1694" s="100"/>
      <c r="AM1694" s="100"/>
    </row>
    <row r="1695" spans="38:39" x14ac:dyDescent="0.3">
      <c r="AL1695" s="100"/>
      <c r="AM1695" s="100"/>
    </row>
    <row r="1696" spans="38:39" x14ac:dyDescent="0.3">
      <c r="AL1696" s="100"/>
      <c r="AM1696" s="100"/>
    </row>
    <row r="1697" spans="38:39" x14ac:dyDescent="0.3">
      <c r="AL1697" s="100"/>
      <c r="AM1697" s="100"/>
    </row>
    <row r="1698" spans="38:39" x14ac:dyDescent="0.3">
      <c r="AL1698" s="100"/>
      <c r="AM1698" s="100"/>
    </row>
    <row r="1699" spans="38:39" x14ac:dyDescent="0.3">
      <c r="AL1699" s="100"/>
      <c r="AM1699" s="100"/>
    </row>
    <row r="1700" spans="38:39" x14ac:dyDescent="0.3">
      <c r="AL1700" s="100"/>
      <c r="AM1700" s="100"/>
    </row>
    <row r="1701" spans="38:39" x14ac:dyDescent="0.3">
      <c r="AL1701" s="100"/>
      <c r="AM1701" s="100"/>
    </row>
    <row r="1702" spans="38:39" x14ac:dyDescent="0.3">
      <c r="AL1702" s="100"/>
      <c r="AM1702" s="100"/>
    </row>
    <row r="1703" spans="38:39" x14ac:dyDescent="0.3">
      <c r="AL1703" s="100"/>
      <c r="AM1703" s="100"/>
    </row>
    <row r="1704" spans="38:39" x14ac:dyDescent="0.3">
      <c r="AL1704" s="100"/>
      <c r="AM1704" s="100"/>
    </row>
    <row r="1705" spans="38:39" x14ac:dyDescent="0.3">
      <c r="AL1705" s="100"/>
      <c r="AM1705" s="100"/>
    </row>
    <row r="1706" spans="38:39" x14ac:dyDescent="0.3">
      <c r="AL1706" s="100"/>
      <c r="AM1706" s="100"/>
    </row>
    <row r="1707" spans="38:39" x14ac:dyDescent="0.3">
      <c r="AL1707" s="100"/>
      <c r="AM1707" s="100"/>
    </row>
    <row r="1708" spans="38:39" x14ac:dyDescent="0.3">
      <c r="AL1708" s="100"/>
      <c r="AM1708" s="100"/>
    </row>
    <row r="1709" spans="38:39" x14ac:dyDescent="0.3">
      <c r="AL1709" s="100"/>
      <c r="AM1709" s="100"/>
    </row>
    <row r="1710" spans="38:39" x14ac:dyDescent="0.3">
      <c r="AL1710" s="100"/>
      <c r="AM1710" s="100"/>
    </row>
    <row r="1711" spans="38:39" x14ac:dyDescent="0.3">
      <c r="AL1711" s="100"/>
      <c r="AM1711" s="100"/>
    </row>
    <row r="1712" spans="38:39" x14ac:dyDescent="0.3">
      <c r="AL1712" s="100"/>
      <c r="AM1712" s="100"/>
    </row>
    <row r="1713" spans="38:39" x14ac:dyDescent="0.3">
      <c r="AL1713" s="100"/>
      <c r="AM1713" s="100"/>
    </row>
    <row r="1714" spans="38:39" x14ac:dyDescent="0.3">
      <c r="AL1714" s="100"/>
      <c r="AM1714" s="100"/>
    </row>
    <row r="1715" spans="38:39" x14ac:dyDescent="0.3">
      <c r="AL1715" s="100"/>
      <c r="AM1715" s="100"/>
    </row>
    <row r="1716" spans="38:39" x14ac:dyDescent="0.3">
      <c r="AL1716" s="100"/>
      <c r="AM1716" s="100"/>
    </row>
    <row r="1717" spans="38:39" x14ac:dyDescent="0.3">
      <c r="AL1717" s="100"/>
      <c r="AM1717" s="100"/>
    </row>
    <row r="1718" spans="38:39" x14ac:dyDescent="0.3">
      <c r="AL1718" s="100"/>
      <c r="AM1718" s="100"/>
    </row>
    <row r="1719" spans="38:39" x14ac:dyDescent="0.3">
      <c r="AL1719" s="100"/>
      <c r="AM1719" s="100"/>
    </row>
    <row r="1720" spans="38:39" x14ac:dyDescent="0.3">
      <c r="AL1720" s="100"/>
      <c r="AM1720" s="100"/>
    </row>
    <row r="1721" spans="38:39" x14ac:dyDescent="0.3">
      <c r="AL1721" s="100"/>
      <c r="AM1721" s="100"/>
    </row>
    <row r="1722" spans="38:39" x14ac:dyDescent="0.3">
      <c r="AL1722" s="100"/>
      <c r="AM1722" s="100"/>
    </row>
    <row r="1723" spans="38:39" x14ac:dyDescent="0.3">
      <c r="AL1723" s="100"/>
      <c r="AM1723" s="100"/>
    </row>
    <row r="1724" spans="38:39" x14ac:dyDescent="0.3">
      <c r="AL1724" s="100"/>
      <c r="AM1724" s="100"/>
    </row>
    <row r="1725" spans="38:39" x14ac:dyDescent="0.3">
      <c r="AL1725" s="100"/>
      <c r="AM1725" s="100"/>
    </row>
    <row r="1726" spans="38:39" x14ac:dyDescent="0.3">
      <c r="AL1726" s="100"/>
      <c r="AM1726" s="100"/>
    </row>
    <row r="1727" spans="38:39" x14ac:dyDescent="0.3">
      <c r="AL1727" s="100"/>
      <c r="AM1727" s="100"/>
    </row>
    <row r="1728" spans="38:39" x14ac:dyDescent="0.3">
      <c r="AL1728" s="100"/>
      <c r="AM1728" s="100"/>
    </row>
    <row r="1729" spans="38:39" x14ac:dyDescent="0.3">
      <c r="AL1729" s="100"/>
      <c r="AM1729" s="100"/>
    </row>
  </sheetData>
  <mergeCells count="10">
    <mergeCell ref="A1:G1"/>
    <mergeCell ref="A2:G2"/>
    <mergeCell ref="A3:G3"/>
    <mergeCell ref="A6:G6"/>
    <mergeCell ref="A4:G4"/>
    <mergeCell ref="AW7:AX7"/>
    <mergeCell ref="AY7:AZ7"/>
    <mergeCell ref="AR7:AS7"/>
    <mergeCell ref="AP7:AQ7"/>
    <mergeCell ref="AN7:AO7"/>
  </mergeCells>
  <pageMargins left="1.1417322834645669" right="0.35433070866141736" top="0.59055118110236227" bottom="0.78740157480314965" header="0.51181102362204722" footer="0.51181102362204722"/>
  <pageSetup paperSize="9" scale="56" fitToHeight="2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Ф-26,27</vt:lpstr>
      <vt:lpstr>26,27-город</vt:lpstr>
      <vt:lpstr>В-26,27</vt:lpstr>
      <vt:lpstr>'26,27-город'!Область_печати</vt:lpstr>
      <vt:lpstr>'В-26,27'!Область_печати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Alexandr Viktorovich</cp:lastModifiedBy>
  <cp:lastPrinted>2024-11-29T05:29:32Z</cp:lastPrinted>
  <dcterms:created xsi:type="dcterms:W3CDTF">2019-10-27T17:16:26Z</dcterms:created>
  <dcterms:modified xsi:type="dcterms:W3CDTF">2025-12-25T08:26:30Z</dcterms:modified>
</cp:coreProperties>
</file>